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96" windowHeight="9300" activeTab="0"/>
  </bookViews>
  <sheets>
    <sheet name="Estimate" sheetId="1" r:id="rId1"/>
    <sheet name="Data" sheetId="2" r:id="rId2"/>
  </sheets>
  <definedNames>
    <definedName name="Bathroom">'Data'!$B$90:$I$92</definedName>
    <definedName name="Bathroom_Type">'Data'!$B$90:$B$92</definedName>
    <definedName name="Columns">'Data'!$B$36:$E$37</definedName>
    <definedName name="Cont_Footing">'Data'!$B$6:$I$10</definedName>
    <definedName name="Joist_Girders">'Data'!$G$42:$I$46</definedName>
    <definedName name="Joists">'Data'!$B$42:$D$46</definedName>
    <definedName name="Overhead">'Data'!$B$113:$D$117</definedName>
    <definedName name="Permit">'Data'!$B$99:$G$105</definedName>
    <definedName name="Profit">'Data'!$F$113:$H$117</definedName>
    <definedName name="Slab">'Data'!$G$16:$H$19</definedName>
    <definedName name="Slab_Thickness">'Data'!$G$16:$G$19</definedName>
    <definedName name="Spot_Footings">'Data'!$B$17:$E$21</definedName>
  </definedNames>
  <calcPr fullCalcOnLoad="1"/>
</workbook>
</file>

<file path=xl/sharedStrings.xml><?xml version="1.0" encoding="utf-8"?>
<sst xmlns="http://schemas.openxmlformats.org/spreadsheetml/2006/main" count="277" uniqueCount="120">
  <si>
    <t>Concrete</t>
  </si>
  <si>
    <t>Building Parameters</t>
  </si>
  <si>
    <t>Building Width</t>
  </si>
  <si>
    <t>Number of Bays Wide</t>
  </si>
  <si>
    <t>Number of Bays Long</t>
  </si>
  <si>
    <t>Bay Length</t>
  </si>
  <si>
    <t>ft</t>
  </si>
  <si>
    <t>ea</t>
  </si>
  <si>
    <t>Bay Width</t>
  </si>
  <si>
    <t>Wall Height (above grade)</t>
  </si>
  <si>
    <t>in</t>
  </si>
  <si>
    <t>To 20 ft High Walls</t>
  </si>
  <si>
    <t>Width (in)</t>
  </si>
  <si>
    <t>Depth (in)</t>
  </si>
  <si>
    <t>To 30 ft High Walls</t>
  </si>
  <si>
    <t>Concrete Continuous Footings</t>
  </si>
  <si>
    <t xml:space="preserve">lft </t>
  </si>
  <si>
    <t>@</t>
  </si>
  <si>
    <t>Quantity</t>
  </si>
  <si>
    <t>Unit Price</t>
  </si>
  <si>
    <t>Total Cost</t>
  </si>
  <si>
    <t>Notes</t>
  </si>
  <si>
    <t>For sides of building</t>
  </si>
  <si>
    <t>For ends of building</t>
  </si>
  <si>
    <t>Concrete Spot (Spread) Footings</t>
  </si>
  <si>
    <t>Size</t>
  </si>
  <si>
    <t>Unit Cost ($/lft)</t>
  </si>
  <si>
    <t>42 x 42 x 15</t>
  </si>
  <si>
    <t>48 x 48 x 15</t>
  </si>
  <si>
    <t>60 x 60 x 18</t>
  </si>
  <si>
    <t>72 x 72 x 21</t>
  </si>
  <si>
    <t>84 x 84 x 24</t>
  </si>
  <si>
    <t>Supported Roof Area (sft)</t>
  </si>
  <si>
    <t>Support center columns</t>
  </si>
  <si>
    <t>sft</t>
  </si>
  <si>
    <t>Floor Slab</t>
  </si>
  <si>
    <t>Floor Thickness</t>
  </si>
  <si>
    <t>Concrete Slab</t>
  </si>
  <si>
    <t>Thickness (in)</t>
  </si>
  <si>
    <t>Wire Mesh</t>
  </si>
  <si>
    <t>sft add</t>
  </si>
  <si>
    <t>Wire Mesh in Slab?</t>
  </si>
  <si>
    <t>Depth to Top of Footing</t>
  </si>
  <si>
    <t>Yes</t>
  </si>
  <si>
    <t>Masonry</t>
  </si>
  <si>
    <t>Building Length</t>
  </si>
  <si>
    <t>8 x 8 x 16 block wall</t>
  </si>
  <si>
    <t>Man door opening</t>
  </si>
  <si>
    <t>OH door opening</t>
  </si>
  <si>
    <t>Item</t>
  </si>
  <si>
    <t>10' x 10' OH door</t>
  </si>
  <si>
    <t>12' x 12' OH door</t>
  </si>
  <si>
    <t>14' x 14' OH door</t>
  </si>
  <si>
    <t>12' x 16' OH door</t>
  </si>
  <si>
    <t>Steel, Joist, &amp; Deck</t>
  </si>
  <si>
    <t>Roofing</t>
  </si>
  <si>
    <t>Roof Hatches</t>
  </si>
  <si>
    <t>Doors &amp; Skylights</t>
  </si>
  <si>
    <t>Fire Sprinklers</t>
  </si>
  <si>
    <t xml:space="preserve">Plumbing </t>
  </si>
  <si>
    <t>Roof drains</t>
  </si>
  <si>
    <t>HVAC</t>
  </si>
  <si>
    <t>Electrical</t>
  </si>
  <si>
    <t>Excavation</t>
  </si>
  <si>
    <t>Columns</t>
  </si>
  <si>
    <t>6 x 6 x 1/4</t>
  </si>
  <si>
    <t>8 x 8 x 3/8</t>
  </si>
  <si>
    <t>Joists</t>
  </si>
  <si>
    <t>Unit Cost ($sft)</t>
  </si>
  <si>
    <t>Decking</t>
  </si>
  <si>
    <t>Joist Girders</t>
  </si>
  <si>
    <t>From</t>
  </si>
  <si>
    <t>To</t>
  </si>
  <si>
    <t>Joists Girders</t>
  </si>
  <si>
    <t>Doors</t>
  </si>
  <si>
    <t>Skylights</t>
  </si>
  <si>
    <t>Roof Hatch</t>
  </si>
  <si>
    <t>Heating</t>
  </si>
  <si>
    <t>Service and Lighting</t>
  </si>
  <si>
    <t>Cont. footing</t>
  </si>
  <si>
    <t>Spot footing</t>
  </si>
  <si>
    <t>Backfill</t>
  </si>
  <si>
    <t>Rough grading</t>
  </si>
  <si>
    <t>Unit Cost</t>
  </si>
  <si>
    <t>bcy</t>
  </si>
  <si>
    <t>ccy</t>
  </si>
  <si>
    <t>Total</t>
  </si>
  <si>
    <t>Subtotal</t>
  </si>
  <si>
    <t>Building Permit</t>
  </si>
  <si>
    <t>Overhead</t>
  </si>
  <si>
    <t>Profit</t>
  </si>
  <si>
    <t>Base Rate</t>
  </si>
  <si>
    <t>Per Additional $1,000</t>
  </si>
  <si>
    <t>for first</t>
  </si>
  <si>
    <t>Valuation</t>
  </si>
  <si>
    <t>Hard Costs</t>
  </si>
  <si>
    <t>Proift (%)</t>
  </si>
  <si>
    <t>Fire sprinklers?</t>
  </si>
  <si>
    <t>Bathrooms?</t>
  </si>
  <si>
    <t>None</t>
  </si>
  <si>
    <t>Bathrooms</t>
  </si>
  <si>
    <t>Type</t>
  </si>
  <si>
    <t>Paint</t>
  </si>
  <si>
    <t>Fiber-Reinforced Panels</t>
  </si>
  <si>
    <t>Plumbing</t>
  </si>
  <si>
    <t>Metal Studs and Drywall</t>
  </si>
  <si>
    <t>Unisex</t>
  </si>
  <si>
    <t>Male/Female</t>
  </si>
  <si>
    <t>Finishes</t>
  </si>
  <si>
    <t>ls</t>
  </si>
  <si>
    <t>Accessories</t>
  </si>
  <si>
    <t>Bathroom</t>
  </si>
  <si>
    <t>Doors and Hardware</t>
  </si>
  <si>
    <t>Bathroom Doors</t>
  </si>
  <si>
    <t>Mirrors and Bathroom Accessories</t>
  </si>
  <si>
    <t>Mirrors and Accessories</t>
  </si>
  <si>
    <t>2' x 4' Skylight</t>
  </si>
  <si>
    <t>4' x 4' Skylight</t>
  </si>
  <si>
    <t>4' x 6' Skylight</t>
  </si>
  <si>
    <t>Personnel Doors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</si>
</sst>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165" fontId="0" fillId="0" borderId="16" xfId="42" applyNumberFormat="1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5" xfId="42" applyNumberFormat="1" applyFont="1" applyBorder="1" applyAlignment="1">
      <alignment/>
    </xf>
    <xf numFmtId="0" fontId="0" fillId="0" borderId="16" xfId="0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0" fontId="0" fillId="0" borderId="18" xfId="0" applyBorder="1" applyAlignment="1">
      <alignment/>
    </xf>
    <xf numFmtId="43" fontId="0" fillId="0" borderId="19" xfId="42" applyFont="1" applyBorder="1" applyAlignment="1">
      <alignment/>
    </xf>
    <xf numFmtId="0" fontId="0" fillId="0" borderId="20" xfId="0" applyBorder="1" applyAlignment="1">
      <alignment/>
    </xf>
    <xf numFmtId="165" fontId="0" fillId="0" borderId="21" xfId="42" applyNumberFormat="1" applyFont="1" applyBorder="1" applyAlignment="1">
      <alignment horizontal="center"/>
    </xf>
    <xf numFmtId="165" fontId="0" fillId="0" borderId="22" xfId="42" applyNumberFormat="1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23" xfId="0" applyBorder="1" applyAlignment="1">
      <alignment/>
    </xf>
    <xf numFmtId="165" fontId="0" fillId="0" borderId="23" xfId="42" applyNumberFormat="1" applyFont="1" applyBorder="1" applyAlignment="1">
      <alignment/>
    </xf>
    <xf numFmtId="0" fontId="0" fillId="0" borderId="23" xfId="0" applyBorder="1" applyAlignment="1">
      <alignment horizontal="center"/>
    </xf>
    <xf numFmtId="43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43" fontId="0" fillId="0" borderId="23" xfId="42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 wrapText="1"/>
    </xf>
    <xf numFmtId="164" fontId="0" fillId="0" borderId="25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26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27" xfId="42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43" fontId="0" fillId="0" borderId="0" xfId="42" applyFont="1" applyFill="1" applyAlignment="1">
      <alignment/>
    </xf>
    <xf numFmtId="0" fontId="0" fillId="0" borderId="0" xfId="0" applyFill="1" applyAlignment="1">
      <alignment horizontal="center"/>
    </xf>
    <xf numFmtId="165" fontId="0" fillId="0" borderId="28" xfId="42" applyNumberFormat="1" applyFont="1" applyBorder="1" applyAlignment="1">
      <alignment/>
    </xf>
    <xf numFmtId="165" fontId="0" fillId="0" borderId="29" xfId="42" applyNumberFormat="1" applyFont="1" applyBorder="1" applyAlignment="1">
      <alignment/>
    </xf>
    <xf numFmtId="165" fontId="0" fillId="0" borderId="30" xfId="42" applyNumberFormat="1" applyFont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/>
    </xf>
    <xf numFmtId="165" fontId="0" fillId="0" borderId="26" xfId="0" applyNumberFormat="1" applyBorder="1" applyAlignment="1">
      <alignment/>
    </xf>
    <xf numFmtId="165" fontId="0" fillId="0" borderId="27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3" fontId="0" fillId="0" borderId="0" xfId="42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64" fontId="0" fillId="0" borderId="0" xfId="42" applyNumberFormat="1" applyFont="1" applyBorder="1" applyAlignment="1">
      <alignment horizontal="center"/>
    </xf>
    <xf numFmtId="164" fontId="0" fillId="0" borderId="10" xfId="42" applyNumberFormat="1" applyFont="1" applyBorder="1" applyAlignment="1">
      <alignment horizontal="center"/>
    </xf>
    <xf numFmtId="43" fontId="0" fillId="0" borderId="19" xfId="42" applyFont="1" applyFill="1" applyBorder="1" applyAlignment="1">
      <alignment horizontal="center"/>
    </xf>
    <xf numFmtId="43" fontId="0" fillId="0" borderId="20" xfId="42" applyFont="1" applyBorder="1" applyAlignment="1">
      <alignment/>
    </xf>
    <xf numFmtId="0" fontId="0" fillId="0" borderId="0" xfId="0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43" fontId="0" fillId="0" borderId="33" xfId="42" applyFont="1" applyBorder="1" applyAlignment="1">
      <alignment/>
    </xf>
    <xf numFmtId="43" fontId="0" fillId="0" borderId="34" xfId="42" applyFont="1" applyBorder="1" applyAlignment="1">
      <alignment/>
    </xf>
    <xf numFmtId="43" fontId="0" fillId="0" borderId="35" xfId="42" applyFont="1" applyBorder="1" applyAlignment="1">
      <alignment/>
    </xf>
    <xf numFmtId="43" fontId="0" fillId="0" borderId="36" xfId="42" applyFont="1" applyBorder="1" applyAlignment="1">
      <alignment/>
    </xf>
    <xf numFmtId="43" fontId="0" fillId="0" borderId="37" xfId="42" applyFont="1" applyBorder="1" applyAlignment="1">
      <alignment/>
    </xf>
    <xf numFmtId="43" fontId="0" fillId="0" borderId="38" xfId="42" applyFont="1" applyBorder="1" applyAlignment="1">
      <alignment/>
    </xf>
    <xf numFmtId="0" fontId="0" fillId="0" borderId="39" xfId="0" applyBorder="1" applyAlignment="1">
      <alignment/>
    </xf>
    <xf numFmtId="43" fontId="0" fillId="0" borderId="39" xfId="42" applyFont="1" applyBorder="1" applyAlignment="1">
      <alignment/>
    </xf>
    <xf numFmtId="0" fontId="0" fillId="0" borderId="39" xfId="0" applyBorder="1" applyAlignment="1">
      <alignment horizontal="center"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21" xfId="42" applyNumberFormat="1" applyFont="1" applyBorder="1" applyAlignment="1">
      <alignment/>
    </xf>
    <xf numFmtId="165" fontId="0" fillId="0" borderId="22" xfId="42" applyNumberFormat="1" applyFon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6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43" fontId="0" fillId="0" borderId="28" xfId="42" applyFont="1" applyBorder="1" applyAlignment="1">
      <alignment/>
    </xf>
    <xf numFmtId="43" fontId="0" fillId="0" borderId="29" xfId="42" applyFont="1" applyBorder="1" applyAlignment="1">
      <alignment/>
    </xf>
    <xf numFmtId="43" fontId="0" fillId="0" borderId="30" xfId="42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47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7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5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44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7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1</xdr:row>
      <xdr:rowOff>38100</xdr:rowOff>
    </xdr:from>
    <xdr:to>
      <xdr:col>8</xdr:col>
      <xdr:colOff>1962150</xdr:colOff>
      <xdr:row>21</xdr:row>
      <xdr:rowOff>28575</xdr:rowOff>
    </xdr:to>
    <xdr:pic>
      <xdr:nvPicPr>
        <xdr:cNvPr id="1" name="Picture 5" descr="Chapter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57175"/>
          <a:ext cx="42291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5"/>
  <sheetViews>
    <sheetView tabSelected="1" zoomScalePageLayoutView="0" workbookViewId="0" topLeftCell="A1">
      <selection activeCell="E30" sqref="E30"/>
    </sheetView>
  </sheetViews>
  <sheetFormatPr defaultColWidth="9.140625" defaultRowHeight="12.75" outlineLevelRow="1"/>
  <cols>
    <col min="1" max="1" width="24.00390625" style="0" bestFit="1" customWidth="1"/>
    <col min="2" max="2" width="11.28125" style="0" bestFit="1" customWidth="1"/>
    <col min="3" max="3" width="4.7109375" style="2" customWidth="1"/>
    <col min="4" max="4" width="4.7109375" style="5" customWidth="1"/>
    <col min="5" max="5" width="10.7109375" style="0" customWidth="1"/>
    <col min="6" max="6" width="3.7109375" style="0" customWidth="1"/>
    <col min="7" max="7" width="16.7109375" style="0" customWidth="1"/>
    <col min="8" max="8" width="3.7109375" style="0" customWidth="1"/>
    <col min="9" max="9" width="30.7109375" style="0" customWidth="1"/>
  </cols>
  <sheetData>
    <row r="1" ht="17.25">
      <c r="A1" s="1" t="s">
        <v>1</v>
      </c>
    </row>
    <row r="2" ht="12.75">
      <c r="B2" s="29"/>
    </row>
    <row r="3" spans="1:3" ht="12.75">
      <c r="A3" t="s">
        <v>45</v>
      </c>
      <c r="B3" s="99">
        <v>100</v>
      </c>
      <c r="C3" s="2" t="s">
        <v>6</v>
      </c>
    </row>
    <row r="4" spans="1:3" ht="12.75">
      <c r="A4" t="s">
        <v>4</v>
      </c>
      <c r="B4" s="99">
        <v>5</v>
      </c>
      <c r="C4" s="2" t="s">
        <v>7</v>
      </c>
    </row>
    <row r="5" spans="1:3" ht="12.75">
      <c r="A5" t="s">
        <v>5</v>
      </c>
      <c r="B5" s="30">
        <f>B3/B4</f>
        <v>20</v>
      </c>
      <c r="C5" s="2" t="s">
        <v>6</v>
      </c>
    </row>
    <row r="6" spans="1:3" ht="12.75">
      <c r="A6" t="s">
        <v>2</v>
      </c>
      <c r="B6" s="99">
        <v>60</v>
      </c>
      <c r="C6" s="2" t="s">
        <v>6</v>
      </c>
    </row>
    <row r="7" spans="1:3" ht="12.75">
      <c r="A7" t="s">
        <v>3</v>
      </c>
      <c r="B7" s="99">
        <v>3</v>
      </c>
      <c r="C7" s="2" t="s">
        <v>7</v>
      </c>
    </row>
    <row r="8" spans="1:3" ht="12.75">
      <c r="A8" t="s">
        <v>8</v>
      </c>
      <c r="B8" s="30">
        <f>B6/B7</f>
        <v>20</v>
      </c>
      <c r="C8" s="2" t="s">
        <v>6</v>
      </c>
    </row>
    <row r="9" spans="1:3" ht="12.75">
      <c r="A9" t="s">
        <v>9</v>
      </c>
      <c r="B9" s="99">
        <v>25</v>
      </c>
      <c r="C9" s="2" t="s">
        <v>6</v>
      </c>
    </row>
    <row r="10" spans="1:7" ht="12.75">
      <c r="A10" t="s">
        <v>42</v>
      </c>
      <c r="B10" s="99">
        <v>24</v>
      </c>
      <c r="C10" s="2" t="s">
        <v>10</v>
      </c>
      <c r="G10" s="79"/>
    </row>
    <row r="11" spans="1:3" ht="12.75">
      <c r="A11" t="s">
        <v>36</v>
      </c>
      <c r="B11" s="99">
        <v>5</v>
      </c>
      <c r="C11" s="2" t="s">
        <v>10</v>
      </c>
    </row>
    <row r="12" spans="1:2" ht="12.75">
      <c r="A12" t="s">
        <v>41</v>
      </c>
      <c r="B12" s="100" t="s">
        <v>43</v>
      </c>
    </row>
    <row r="13" spans="1:3" ht="12.75">
      <c r="A13" t="s">
        <v>76</v>
      </c>
      <c r="B13" s="99">
        <v>1</v>
      </c>
      <c r="C13" s="2" t="s">
        <v>7</v>
      </c>
    </row>
    <row r="14" spans="1:3" ht="12.75">
      <c r="A14" t="str">
        <f>Data!B59</f>
        <v>Personnel Doors</v>
      </c>
      <c r="B14" s="99">
        <v>2</v>
      </c>
      <c r="C14" s="2" t="s">
        <v>7</v>
      </c>
    </row>
    <row r="15" spans="1:3" ht="12.75">
      <c r="A15" t="str">
        <f>Data!B60</f>
        <v>10' x 10' OH door</v>
      </c>
      <c r="B15" s="99">
        <v>0</v>
      </c>
      <c r="C15" s="2" t="s">
        <v>7</v>
      </c>
    </row>
    <row r="16" spans="1:3" ht="12.75">
      <c r="A16" t="str">
        <f>Data!B61</f>
        <v>12' x 12' OH door</v>
      </c>
      <c r="B16" s="99">
        <v>8</v>
      </c>
      <c r="C16" s="2" t="s">
        <v>7</v>
      </c>
    </row>
    <row r="17" spans="1:3" ht="12.75">
      <c r="A17" t="str">
        <f>Data!B62</f>
        <v>14' x 14' OH door</v>
      </c>
      <c r="B17" s="99">
        <v>0</v>
      </c>
      <c r="C17" s="2" t="s">
        <v>7</v>
      </c>
    </row>
    <row r="18" spans="1:3" ht="12.75">
      <c r="A18" t="str">
        <f>Data!B63</f>
        <v>12' x 16' OH door</v>
      </c>
      <c r="B18" s="99">
        <v>0</v>
      </c>
      <c r="C18" s="2" t="s">
        <v>7</v>
      </c>
    </row>
    <row r="19" spans="1:7" ht="12.75">
      <c r="A19" t="str">
        <f>Data!G59</f>
        <v>2' x 4' Skylight</v>
      </c>
      <c r="B19" s="99">
        <v>0</v>
      </c>
      <c r="C19" s="2" t="s">
        <v>7</v>
      </c>
      <c r="G19" s="79"/>
    </row>
    <row r="20" spans="1:8" ht="12.75">
      <c r="A20" t="str">
        <f>Data!G60</f>
        <v>4' x 4' Skylight</v>
      </c>
      <c r="B20" s="99">
        <v>15</v>
      </c>
      <c r="C20" s="2" t="s">
        <v>7</v>
      </c>
      <c r="F20" s="89"/>
      <c r="G20" s="79"/>
      <c r="H20" s="89"/>
    </row>
    <row r="21" spans="1:7" ht="12.75">
      <c r="A21" t="str">
        <f>Data!G61</f>
        <v>4' x 6' Skylight</v>
      </c>
      <c r="B21" s="99">
        <v>0</v>
      </c>
      <c r="C21" s="2" t="s">
        <v>7</v>
      </c>
      <c r="G21" s="79"/>
    </row>
    <row r="22" spans="1:7" ht="12.75">
      <c r="A22" t="s">
        <v>97</v>
      </c>
      <c r="B22" s="100" t="s">
        <v>43</v>
      </c>
      <c r="G22" s="79"/>
    </row>
    <row r="23" spans="1:2" ht="12.75">
      <c r="A23" t="s">
        <v>98</v>
      </c>
      <c r="B23" s="100" t="s">
        <v>106</v>
      </c>
    </row>
    <row r="24" ht="12.75">
      <c r="B24" s="30"/>
    </row>
    <row r="25" spans="1:9" ht="13.5" thickBot="1">
      <c r="A25" s="4"/>
      <c r="B25" s="101" t="s">
        <v>18</v>
      </c>
      <c r="C25" s="101"/>
      <c r="D25" s="18"/>
      <c r="E25" s="18" t="s">
        <v>19</v>
      </c>
      <c r="F25" s="18"/>
      <c r="G25" s="18" t="s">
        <v>20</v>
      </c>
      <c r="H25" s="4"/>
      <c r="I25" s="4" t="s">
        <v>21</v>
      </c>
    </row>
    <row r="26" spans="1:7" ht="17.25">
      <c r="A26" s="1" t="s">
        <v>0</v>
      </c>
      <c r="G26" s="77">
        <f>SUM(G27:G31)</f>
        <v>27596</v>
      </c>
    </row>
    <row r="27" spans="1:9" ht="12.75" outlineLevel="1">
      <c r="A27" s="29" t="str">
        <f>CONCATENATE(VLOOKUP($B$8,Cont_Footing,IF($B$9&lt;=20,3,6))," x ",VLOOKUP($B$8,Cont_Footing,IF($B$9&lt;=20,4,7))," cont. footing")</f>
        <v>30 x 12 cont. footing</v>
      </c>
      <c r="B27" s="30">
        <f>B3*2</f>
        <v>200</v>
      </c>
      <c r="C27" s="45" t="s">
        <v>16</v>
      </c>
      <c r="D27" s="46" t="s">
        <v>17</v>
      </c>
      <c r="E27" s="45">
        <f>VLOOKUP($B$8,Cont_Footing,IF($B$9&lt;=20,5,8))</f>
        <v>21.4</v>
      </c>
      <c r="G27" s="19">
        <f>B27*E27</f>
        <v>4280</v>
      </c>
      <c r="I27" t="s">
        <v>22</v>
      </c>
    </row>
    <row r="28" spans="1:9" ht="12.75" outlineLevel="1">
      <c r="A28" s="29" t="str">
        <f>CONCATENATE(VLOOKUP(20,Cont_Footing,IF($B$9&lt;=20,3,6))," x ",VLOOKUP(20,Cont_Footing,IF($B$9&lt;=20,4,7))," cont. footing")</f>
        <v>30 x 12 cont. footing</v>
      </c>
      <c r="B28" s="30">
        <f>B6*2</f>
        <v>120</v>
      </c>
      <c r="C28" s="45" t="s">
        <v>16</v>
      </c>
      <c r="D28" s="46" t="s">
        <v>17</v>
      </c>
      <c r="E28" s="45">
        <f>VLOOKUP(20,Cont_Footing,IF($B$9&lt;=20,5,8))</f>
        <v>21.4</v>
      </c>
      <c r="G28" s="19">
        <f>B28*E28</f>
        <v>2568</v>
      </c>
      <c r="I28" t="s">
        <v>23</v>
      </c>
    </row>
    <row r="29" spans="1:9" ht="12.75" outlineLevel="1">
      <c r="A29" s="29" t="str">
        <f>CONCATENATE(VLOOKUP($B$5*$B$8,Spot_Footings,3)," spot footings")</f>
        <v>42 x 42 x 15 spot footings</v>
      </c>
      <c r="B29" s="19">
        <f>(B4+1)*(B7-1)</f>
        <v>12</v>
      </c>
      <c r="C29" s="2" t="s">
        <v>7</v>
      </c>
      <c r="D29" s="5" t="s">
        <v>17</v>
      </c>
      <c r="E29" s="45">
        <f>VLOOKUP($B$5*$B$8,Spot_Footings,4)</f>
        <v>374</v>
      </c>
      <c r="G29" s="19">
        <f>B29*E29</f>
        <v>4488</v>
      </c>
      <c r="I29" t="s">
        <v>33</v>
      </c>
    </row>
    <row r="30" spans="1:9" ht="12.75" outlineLevel="1">
      <c r="A30" t="str">
        <f>CONCATENATE($B$11," inch thick floor slab")</f>
        <v>5 inch thick floor slab</v>
      </c>
      <c r="B30" s="3">
        <f>$B$3*$B$6</f>
        <v>6000</v>
      </c>
      <c r="C30" s="2" t="s">
        <v>34</v>
      </c>
      <c r="D30" s="5" t="s">
        <v>17</v>
      </c>
      <c r="E30" s="45">
        <f>VLOOKUP(B11,Slab,2)</f>
        <v>2.31</v>
      </c>
      <c r="G30" s="19">
        <f>B30*E30</f>
        <v>13860</v>
      </c>
      <c r="I30" t="s">
        <v>35</v>
      </c>
    </row>
    <row r="31" spans="1:9" ht="12.75" outlineLevel="1">
      <c r="A31" s="31" t="s">
        <v>39</v>
      </c>
      <c r="B31" s="32">
        <f>IF(B12="yes",$B$3*$B$6,0)</f>
        <v>6000</v>
      </c>
      <c r="C31" s="36" t="s">
        <v>34</v>
      </c>
      <c r="D31" s="33" t="s">
        <v>17</v>
      </c>
      <c r="E31" s="34">
        <f>Data!H21</f>
        <v>0.4</v>
      </c>
      <c r="F31" s="31"/>
      <c r="G31" s="35">
        <f>B31*E31</f>
        <v>2400</v>
      </c>
      <c r="H31" s="31"/>
      <c r="I31" s="31" t="s">
        <v>35</v>
      </c>
    </row>
    <row r="33" spans="1:7" ht="17.25">
      <c r="A33" s="1" t="s">
        <v>44</v>
      </c>
      <c r="G33" s="77">
        <f>SUM(G34:G36)</f>
        <v>81704</v>
      </c>
    </row>
    <row r="34" spans="1:7" ht="12.75" outlineLevel="1">
      <c r="A34" t="s">
        <v>46</v>
      </c>
      <c r="B34" s="19">
        <f>2*(B3+B6)*(B9+B10/12)-B14*20-B15*10*10-B16*12*12-B17*14*14-B18*12*16</f>
        <v>7448</v>
      </c>
      <c r="C34" s="2" t="s">
        <v>34</v>
      </c>
      <c r="D34" s="5" t="s">
        <v>17</v>
      </c>
      <c r="E34" s="2">
        <f>Data!D27</f>
        <v>10.5</v>
      </c>
      <c r="G34" s="19">
        <f>B34*E34</f>
        <v>78204</v>
      </c>
    </row>
    <row r="35" spans="1:7" ht="12.75" outlineLevel="1">
      <c r="A35" t="s">
        <v>47</v>
      </c>
      <c r="B35" s="19">
        <f>B14</f>
        <v>2</v>
      </c>
      <c r="C35" s="2" t="s">
        <v>7</v>
      </c>
      <c r="D35" s="5" t="s">
        <v>17</v>
      </c>
      <c r="E35" s="2">
        <f>Data!D28</f>
        <v>150</v>
      </c>
      <c r="G35" s="19">
        <f>B35*E35</f>
        <v>300</v>
      </c>
    </row>
    <row r="36" spans="1:9" ht="12.75" outlineLevel="1">
      <c r="A36" s="31" t="s">
        <v>48</v>
      </c>
      <c r="B36" s="35">
        <f>SUM(B15:B18)</f>
        <v>8</v>
      </c>
      <c r="C36" s="36" t="s">
        <v>7</v>
      </c>
      <c r="D36" s="33" t="s">
        <v>17</v>
      </c>
      <c r="E36" s="36">
        <f>Data!D29</f>
        <v>400</v>
      </c>
      <c r="F36" s="31"/>
      <c r="G36" s="35">
        <f>B36*E36</f>
        <v>3200</v>
      </c>
      <c r="H36" s="31"/>
      <c r="I36" s="31"/>
    </row>
    <row r="38" spans="1:7" ht="17.25">
      <c r="A38" s="1" t="s">
        <v>54</v>
      </c>
      <c r="G38" s="77">
        <f>SUM(G39:G42)</f>
        <v>53980</v>
      </c>
    </row>
    <row r="39" spans="1:7" ht="12.75" outlineLevel="1">
      <c r="A39" t="str">
        <f>CONCATENATE(VLOOKUP($B$5*$B$8,Columns,3)," columns")</f>
        <v>6 x 6 x 1/4 columns</v>
      </c>
      <c r="B39" s="19">
        <f>(B4-1)*(B7-1)</f>
        <v>8</v>
      </c>
      <c r="C39" s="2" t="s">
        <v>7</v>
      </c>
      <c r="D39" s="5" t="s">
        <v>17</v>
      </c>
      <c r="E39" s="2">
        <f>VLOOKUP($B$5*$B$8,Columns,4)</f>
        <v>510</v>
      </c>
      <c r="G39" s="19">
        <f>B39*E39</f>
        <v>4080</v>
      </c>
    </row>
    <row r="40" spans="1:7" ht="12.75" outlineLevel="1">
      <c r="A40" t="s">
        <v>67</v>
      </c>
      <c r="B40" s="3">
        <f>$B$3*$B$6</f>
        <v>6000</v>
      </c>
      <c r="C40" s="2" t="s">
        <v>34</v>
      </c>
      <c r="D40" s="5" t="s">
        <v>17</v>
      </c>
      <c r="E40" s="2">
        <f>VLOOKUP($B$8,Joists,3)</f>
        <v>4.75</v>
      </c>
      <c r="G40" s="19">
        <f>B40*E40</f>
        <v>28500</v>
      </c>
    </row>
    <row r="41" spans="1:7" ht="12.75" outlineLevel="1">
      <c r="A41" t="s">
        <v>70</v>
      </c>
      <c r="B41" s="19">
        <f>B4*(B7-1)</f>
        <v>10</v>
      </c>
      <c r="C41" s="2" t="s">
        <v>7</v>
      </c>
      <c r="D41" s="5" t="s">
        <v>17</v>
      </c>
      <c r="E41" s="2">
        <f>VLOOKUP($B$5,Joist_Girders,3)</f>
        <v>640</v>
      </c>
      <c r="G41" s="19">
        <f>B41*E41</f>
        <v>6400</v>
      </c>
    </row>
    <row r="42" spans="1:9" ht="12.75" outlineLevel="1">
      <c r="A42" s="31" t="s">
        <v>69</v>
      </c>
      <c r="B42" s="32">
        <f>$B$3*$B$6</f>
        <v>6000</v>
      </c>
      <c r="C42" s="36" t="s">
        <v>34</v>
      </c>
      <c r="D42" s="33" t="s">
        <v>17</v>
      </c>
      <c r="E42" s="36">
        <f>Data!H32</f>
        <v>2.5</v>
      </c>
      <c r="F42" s="31"/>
      <c r="G42" s="35">
        <f>B42*E42</f>
        <v>15000</v>
      </c>
      <c r="H42" s="31"/>
      <c r="I42" s="31"/>
    </row>
    <row r="44" spans="1:7" ht="17.25">
      <c r="A44" s="1" t="s">
        <v>55</v>
      </c>
      <c r="G44" s="78">
        <f>SUM(G45:G46)</f>
        <v>23450</v>
      </c>
    </row>
    <row r="45" spans="1:7" ht="12.75" outlineLevel="1">
      <c r="A45" t="s">
        <v>55</v>
      </c>
      <c r="B45" s="3">
        <f>$B$3*$B$6</f>
        <v>6000</v>
      </c>
      <c r="C45" s="2" t="s">
        <v>34</v>
      </c>
      <c r="D45" s="64" t="s">
        <v>17</v>
      </c>
      <c r="E45" s="65">
        <f>Data!C49</f>
        <v>3.6</v>
      </c>
      <c r="G45" s="3">
        <f>B45*E45</f>
        <v>21600</v>
      </c>
    </row>
    <row r="46" spans="1:9" ht="12.75" outlineLevel="1">
      <c r="A46" s="31" t="s">
        <v>56</v>
      </c>
      <c r="B46" s="35">
        <f>B13</f>
        <v>1</v>
      </c>
      <c r="C46" s="36" t="s">
        <v>7</v>
      </c>
      <c r="D46" s="33" t="s">
        <v>17</v>
      </c>
      <c r="E46" s="34">
        <f>Data!H49</f>
        <v>1850</v>
      </c>
      <c r="F46" s="31"/>
      <c r="G46" s="32">
        <f>B46*E46</f>
        <v>1850</v>
      </c>
      <c r="H46" s="31"/>
      <c r="I46" s="31"/>
    </row>
    <row r="48" spans="1:7" ht="17.25">
      <c r="A48" s="1" t="s">
        <v>57</v>
      </c>
      <c r="G48" s="77">
        <f>SUM(G49:G57)</f>
        <v>29381</v>
      </c>
    </row>
    <row r="49" spans="1:7" ht="12.75" outlineLevel="1">
      <c r="A49" t="str">
        <f>A14</f>
        <v>Personnel Doors</v>
      </c>
      <c r="B49" s="19">
        <f>B14</f>
        <v>2</v>
      </c>
      <c r="C49" s="2" t="s">
        <v>7</v>
      </c>
      <c r="D49" s="5" t="s">
        <v>17</v>
      </c>
      <c r="E49" s="3">
        <f>Data!D59</f>
        <v>1400</v>
      </c>
      <c r="G49" s="19">
        <f aca="true" t="shared" si="0" ref="G49:G57">B49*E49</f>
        <v>2800</v>
      </c>
    </row>
    <row r="50" spans="1:7" ht="12.75" outlineLevel="1">
      <c r="A50" t="s">
        <v>113</v>
      </c>
      <c r="B50" s="19">
        <v>1</v>
      </c>
      <c r="C50" s="2" t="s">
        <v>109</v>
      </c>
      <c r="D50" s="5" t="s">
        <v>17</v>
      </c>
      <c r="E50" s="3">
        <f>VLOOKUP($B$23,Bathroom,2)</f>
        <v>225</v>
      </c>
      <c r="G50" s="19">
        <f>B50*E50</f>
        <v>225</v>
      </c>
    </row>
    <row r="51" spans="1:7" ht="12.75" outlineLevel="1">
      <c r="A51" t="str">
        <f aca="true" t="shared" si="1" ref="A51:B56">A15</f>
        <v>10' x 10' OH door</v>
      </c>
      <c r="B51" s="19">
        <f t="shared" si="1"/>
        <v>0</v>
      </c>
      <c r="C51" s="2" t="s">
        <v>7</v>
      </c>
      <c r="D51" s="5" t="s">
        <v>17</v>
      </c>
      <c r="E51" s="3">
        <f>Data!D60</f>
        <v>2112</v>
      </c>
      <c r="G51" s="19">
        <f t="shared" si="0"/>
        <v>0</v>
      </c>
    </row>
    <row r="52" spans="1:7" ht="12.75" outlineLevel="1">
      <c r="A52" t="str">
        <f t="shared" si="1"/>
        <v>12' x 12' OH door</v>
      </c>
      <c r="B52" s="19">
        <f t="shared" si="1"/>
        <v>8</v>
      </c>
      <c r="C52" s="2" t="s">
        <v>7</v>
      </c>
      <c r="D52" s="5" t="s">
        <v>17</v>
      </c>
      <c r="E52" s="3">
        <f>Data!D61</f>
        <v>2627</v>
      </c>
      <c r="G52" s="19">
        <f t="shared" si="0"/>
        <v>21016</v>
      </c>
    </row>
    <row r="53" spans="1:7" ht="12.75" outlineLevel="1">
      <c r="A53" t="str">
        <f t="shared" si="1"/>
        <v>14' x 14' OH door</v>
      </c>
      <c r="B53" s="19">
        <f t="shared" si="1"/>
        <v>0</v>
      </c>
      <c r="C53" s="2" t="s">
        <v>7</v>
      </c>
      <c r="D53" s="5" t="s">
        <v>17</v>
      </c>
      <c r="E53" s="3">
        <f>Data!D62</f>
        <v>3529</v>
      </c>
      <c r="G53" s="19">
        <f t="shared" si="0"/>
        <v>0</v>
      </c>
    </row>
    <row r="54" spans="1:7" ht="12.75" outlineLevel="1">
      <c r="A54" t="str">
        <f t="shared" si="1"/>
        <v>12' x 16' OH door</v>
      </c>
      <c r="B54" s="19">
        <f t="shared" si="1"/>
        <v>0</v>
      </c>
      <c r="C54" s="2" t="s">
        <v>7</v>
      </c>
      <c r="D54" s="5" t="s">
        <v>17</v>
      </c>
      <c r="E54" s="3">
        <f>Data!D63</f>
        <v>3439</v>
      </c>
      <c r="G54" s="19">
        <f t="shared" si="0"/>
        <v>0</v>
      </c>
    </row>
    <row r="55" spans="1:7" ht="12.75" outlineLevel="1">
      <c r="A55" t="str">
        <f t="shared" si="1"/>
        <v>2' x 4' Skylight</v>
      </c>
      <c r="B55" s="19">
        <f>B19</f>
        <v>0</v>
      </c>
      <c r="C55" s="2" t="s">
        <v>7</v>
      </c>
      <c r="D55" s="5" t="s">
        <v>17</v>
      </c>
      <c r="E55" s="3">
        <f>Data!I59</f>
        <v>267</v>
      </c>
      <c r="G55" s="19">
        <f t="shared" si="0"/>
        <v>0</v>
      </c>
    </row>
    <row r="56" spans="1:7" ht="12.75" outlineLevel="1">
      <c r="A56" t="str">
        <f t="shared" si="1"/>
        <v>4' x 4' Skylight</v>
      </c>
      <c r="B56" s="19">
        <f>B20</f>
        <v>15</v>
      </c>
      <c r="C56" s="2" t="s">
        <v>7</v>
      </c>
      <c r="D56" s="5" t="s">
        <v>17</v>
      </c>
      <c r="E56" s="3">
        <f>Data!I60</f>
        <v>356</v>
      </c>
      <c r="G56" s="19">
        <f t="shared" si="0"/>
        <v>5340</v>
      </c>
    </row>
    <row r="57" spans="1:9" ht="12.75" outlineLevel="1">
      <c r="A57" s="31" t="str">
        <f>A21</f>
        <v>4' x 6' Skylight</v>
      </c>
      <c r="B57" s="35">
        <f>B21</f>
        <v>0</v>
      </c>
      <c r="C57" s="36" t="s">
        <v>7</v>
      </c>
      <c r="D57" s="33" t="s">
        <v>17</v>
      </c>
      <c r="E57" s="32">
        <f>Data!I61</f>
        <v>465</v>
      </c>
      <c r="F57" s="31"/>
      <c r="G57" s="35">
        <f t="shared" si="0"/>
        <v>0</v>
      </c>
      <c r="H57" s="31"/>
      <c r="I57" s="31"/>
    </row>
    <row r="58" spans="1:9" ht="12.75">
      <c r="A58" s="90"/>
      <c r="B58" s="91"/>
      <c r="C58" s="57"/>
      <c r="D58" s="55"/>
      <c r="E58" s="92"/>
      <c r="F58" s="90"/>
      <c r="G58" s="91"/>
      <c r="H58" s="90"/>
      <c r="I58" s="90"/>
    </row>
    <row r="59" spans="1:7" s="90" customFormat="1" ht="17.25">
      <c r="A59" s="1" t="s">
        <v>108</v>
      </c>
      <c r="B59" s="91"/>
      <c r="C59" s="57"/>
      <c r="D59" s="55"/>
      <c r="E59" s="92"/>
      <c r="G59" s="77">
        <f>SUM(G60:G62)</f>
        <v>9200</v>
      </c>
    </row>
    <row r="60" spans="1:7" s="90" customFormat="1" ht="12.75" outlineLevel="1">
      <c r="A60" s="93" t="s">
        <v>105</v>
      </c>
      <c r="B60" s="93">
        <v>1</v>
      </c>
      <c r="C60" s="2" t="s">
        <v>109</v>
      </c>
      <c r="D60" s="5" t="s">
        <v>17</v>
      </c>
      <c r="E60" s="3">
        <f>VLOOKUP($B$23,Bathroom,3)</f>
        <v>8000</v>
      </c>
      <c r="F60"/>
      <c r="G60" s="19">
        <f>B60*E60</f>
        <v>8000</v>
      </c>
    </row>
    <row r="61" spans="1:7" s="90" customFormat="1" ht="12.75" outlineLevel="1">
      <c r="A61" s="93" t="s">
        <v>102</v>
      </c>
      <c r="B61" s="93">
        <v>1</v>
      </c>
      <c r="C61" s="2" t="s">
        <v>109</v>
      </c>
      <c r="D61" s="5" t="s">
        <v>17</v>
      </c>
      <c r="E61" s="3">
        <f>VLOOKUP($B$23,Bathroom,4)</f>
        <v>800</v>
      </c>
      <c r="F61"/>
      <c r="G61" s="19">
        <f>B61*E61</f>
        <v>800</v>
      </c>
    </row>
    <row r="62" spans="1:9" s="90" customFormat="1" ht="12.75" outlineLevel="1">
      <c r="A62" s="94" t="s">
        <v>103</v>
      </c>
      <c r="B62" s="94">
        <v>1</v>
      </c>
      <c r="C62" s="36" t="s">
        <v>109</v>
      </c>
      <c r="D62" s="33" t="s">
        <v>17</v>
      </c>
      <c r="E62" s="32">
        <f>VLOOKUP($B$23,Bathroom,5)</f>
        <v>400</v>
      </c>
      <c r="F62" s="31"/>
      <c r="G62" s="35">
        <f>B62*E62</f>
        <v>400</v>
      </c>
      <c r="H62" s="31"/>
      <c r="I62" s="31"/>
    </row>
    <row r="63" spans="1:7" s="90" customFormat="1" ht="12.75">
      <c r="A63" s="93"/>
      <c r="B63" s="93"/>
      <c r="C63" s="93"/>
      <c r="D63" s="55"/>
      <c r="E63" s="92"/>
      <c r="G63" s="91"/>
    </row>
    <row r="64" spans="1:7" s="90" customFormat="1" ht="17.25">
      <c r="A64" s="1" t="s">
        <v>110</v>
      </c>
      <c r="B64" s="93"/>
      <c r="C64" s="2"/>
      <c r="D64" s="5"/>
      <c r="E64" s="3"/>
      <c r="F64"/>
      <c r="G64" s="77">
        <f>SUM(G65:G65)</f>
        <v>250</v>
      </c>
    </row>
    <row r="65" spans="1:9" s="90" customFormat="1" ht="12.75" outlineLevel="1">
      <c r="A65" s="94" t="s">
        <v>115</v>
      </c>
      <c r="B65" s="94">
        <v>1</v>
      </c>
      <c r="C65" s="36" t="s">
        <v>109</v>
      </c>
      <c r="D65" s="33" t="s">
        <v>17</v>
      </c>
      <c r="E65" s="32">
        <f>VLOOKUP($B$23,Bathroom,6)</f>
        <v>250</v>
      </c>
      <c r="F65" s="31"/>
      <c r="G65" s="35">
        <f>B65*E65</f>
        <v>250</v>
      </c>
      <c r="H65" s="31"/>
      <c r="I65" s="31"/>
    </row>
    <row r="67" spans="1:7" ht="17.25">
      <c r="A67" s="1" t="s">
        <v>58</v>
      </c>
      <c r="G67" s="77">
        <f>SUM(G68)</f>
        <v>15480</v>
      </c>
    </row>
    <row r="68" spans="1:9" ht="12.75" outlineLevel="1">
      <c r="A68" s="31" t="s">
        <v>58</v>
      </c>
      <c r="B68" s="32">
        <f>$B$3*$B$6</f>
        <v>6000</v>
      </c>
      <c r="C68" s="36" t="s">
        <v>34</v>
      </c>
      <c r="D68" s="33" t="s">
        <v>17</v>
      </c>
      <c r="E68" s="36">
        <f>IF(B22="Yes",Data!D66,0)</f>
        <v>2.58</v>
      </c>
      <c r="F68" s="31"/>
      <c r="G68" s="35">
        <f>B68*E68</f>
        <v>15480</v>
      </c>
      <c r="H68" s="31"/>
      <c r="I68" s="31"/>
    </row>
    <row r="70" spans="1:7" ht="17.25">
      <c r="A70" s="1" t="s">
        <v>59</v>
      </c>
      <c r="G70" s="77">
        <f>SUM(G71:G72)</f>
        <v>11000</v>
      </c>
    </row>
    <row r="71" spans="1:9" ht="12.75" outlineLevel="1">
      <c r="A71" s="90" t="s">
        <v>60</v>
      </c>
      <c r="B71" s="92">
        <f>$B$3*$B$6</f>
        <v>6000</v>
      </c>
      <c r="C71" s="57" t="s">
        <v>34</v>
      </c>
      <c r="D71" s="55" t="s">
        <v>17</v>
      </c>
      <c r="E71" s="57">
        <f>Data!D69</f>
        <v>1.25</v>
      </c>
      <c r="F71" s="90"/>
      <c r="G71" s="91">
        <f>B71*E71</f>
        <v>7500</v>
      </c>
      <c r="H71" s="90"/>
      <c r="I71" s="90"/>
    </row>
    <row r="72" spans="1:9" ht="12.75" outlineLevel="1">
      <c r="A72" s="31" t="s">
        <v>111</v>
      </c>
      <c r="B72" s="94">
        <v>1</v>
      </c>
      <c r="C72" s="36" t="s">
        <v>109</v>
      </c>
      <c r="D72" s="33" t="s">
        <v>17</v>
      </c>
      <c r="E72" s="32">
        <f>VLOOKUP($B$23,Bathroom,7)</f>
        <v>3500</v>
      </c>
      <c r="F72" s="31"/>
      <c r="G72" s="35">
        <f>B72*E72</f>
        <v>3500</v>
      </c>
      <c r="H72" s="31"/>
      <c r="I72" s="31"/>
    </row>
    <row r="74" spans="1:7" ht="17.25">
      <c r="A74" s="1" t="s">
        <v>61</v>
      </c>
      <c r="G74" s="77">
        <f>SUM(G75)</f>
        <v>18000</v>
      </c>
    </row>
    <row r="75" spans="1:9" ht="12.75" outlineLevel="1">
      <c r="A75" s="31" t="s">
        <v>77</v>
      </c>
      <c r="B75" s="32">
        <f>$B$3*$B$6</f>
        <v>6000</v>
      </c>
      <c r="C75" s="36" t="s">
        <v>34</v>
      </c>
      <c r="D75" s="33" t="s">
        <v>17</v>
      </c>
      <c r="E75" s="36">
        <f>Data!D72</f>
        <v>3</v>
      </c>
      <c r="F75" s="31"/>
      <c r="G75" s="35">
        <f>B75*E75</f>
        <v>18000</v>
      </c>
      <c r="H75" s="31"/>
      <c r="I75" s="31"/>
    </row>
    <row r="77" spans="1:7" ht="17.25">
      <c r="A77" s="1" t="s">
        <v>62</v>
      </c>
      <c r="G77" s="77">
        <f>SUM(G78:G79)</f>
        <v>22750</v>
      </c>
    </row>
    <row r="78" spans="1:9" ht="12.75" outlineLevel="1">
      <c r="A78" s="90" t="s">
        <v>78</v>
      </c>
      <c r="B78" s="92">
        <f>$B$3*$B$6</f>
        <v>6000</v>
      </c>
      <c r="C78" s="57" t="s">
        <v>34</v>
      </c>
      <c r="D78" s="55" t="s">
        <v>17</v>
      </c>
      <c r="E78" s="57">
        <f>Data!D75</f>
        <v>3.75</v>
      </c>
      <c r="F78" s="90"/>
      <c r="G78" s="91">
        <f>B78*E78</f>
        <v>22500</v>
      </c>
      <c r="H78" s="90"/>
      <c r="I78" s="90"/>
    </row>
    <row r="79" spans="1:9" ht="12.75" outlineLevel="1">
      <c r="A79" s="31" t="s">
        <v>111</v>
      </c>
      <c r="B79" s="94">
        <v>1</v>
      </c>
      <c r="C79" s="36" t="s">
        <v>109</v>
      </c>
      <c r="D79" s="33" t="s">
        <v>17</v>
      </c>
      <c r="E79" s="32">
        <f>VLOOKUP($B$23,Bathroom,8)</f>
        <v>250</v>
      </c>
      <c r="F79" s="31"/>
      <c r="G79" s="35">
        <f>B79*E79</f>
        <v>250</v>
      </c>
      <c r="H79" s="31"/>
      <c r="I79" s="31"/>
    </row>
    <row r="81" spans="1:7" ht="17.25">
      <c r="A81" s="1" t="s">
        <v>63</v>
      </c>
      <c r="G81" s="76">
        <f>SUM(G82:G85)</f>
        <v>13835.639660493827</v>
      </c>
    </row>
    <row r="82" spans="1:7" ht="12.75" outlineLevel="1">
      <c r="A82" t="str">
        <f>Data!B80</f>
        <v>Cont. footing</v>
      </c>
      <c r="B82" s="19">
        <f>((VLOOKUP($B$8,Cont_Footing,IF($B$9&lt;=20,4,7))+$B$10)/12)*(VLOOKUP($B$8,Cont_Footing,IF($B$9&lt;=20,3,6))/12+2)*($B$3*2)/27+((VLOOKUP(20,Cont_Footing,IF($B$9&lt;=20,4,7))+$B$10)/12)*(VLOOKUP(20,Cont_Footing,IF($B$9&lt;=20,3,6))/12+2)*($B$6*2)/27</f>
        <v>160</v>
      </c>
      <c r="C82" s="2" t="str">
        <f>Data!E80</f>
        <v>bcy</v>
      </c>
      <c r="D82" s="5" t="s">
        <v>17</v>
      </c>
      <c r="E82" s="2">
        <f>Data!D80</f>
        <v>11.85</v>
      </c>
      <c r="G82" s="19">
        <f>B82*E82</f>
        <v>1896</v>
      </c>
    </row>
    <row r="83" spans="1:7" ht="12.75" outlineLevel="1">
      <c r="A83" t="str">
        <f>Data!B81</f>
        <v>Spot footing</v>
      </c>
      <c r="B83" s="3">
        <f>$B$29*(RIGHT(VLOOKUP($B$5*$B$8,Spot_Footings,3),2)/12)*(LEFT(VLOOKUP($B$5*$B$8,Spot_Footings,3),2)/12+2)^2/27</f>
        <v>16.805555555555557</v>
      </c>
      <c r="C83" s="2" t="str">
        <f>Data!E81</f>
        <v>bcy</v>
      </c>
      <c r="D83" s="5" t="s">
        <v>17</v>
      </c>
      <c r="E83" s="2">
        <f>Data!D81</f>
        <v>11.85</v>
      </c>
      <c r="G83" s="19">
        <f>B83*E83</f>
        <v>199.14583333333334</v>
      </c>
    </row>
    <row r="84" spans="1:7" ht="12.75" outlineLevel="1">
      <c r="A84" t="str">
        <f>Data!B82</f>
        <v>Backfill</v>
      </c>
      <c r="B84" s="19">
        <f>$B$82+$B$83-((VLOOKUP($B$8,Cont_Footing,IF($B$9&lt;=20,4,7)))/12)*(VLOOKUP($B$8,Cont_Footing,IF($B$9&lt;=20,3,6))/12)*($B$3*2)/27-((VLOOKUP(20,Cont_Footing,IF($B$9&lt;=20,4,7)))/12)*(VLOOKUP(20,Cont_Footing,IF($B$9&lt;=20,3,6))/12)*($B$6*2)/27-$B$29*(RIGHT(VLOOKUP($B$5*$B$8,Spot_Footings,3),2)/12)*(LEFT(VLOOKUP($B$5*$B$8,Spot_Footings,3),2)/12)^2/27-2*($B$3+$B$6)*($B$10)/12*(8/12)/27</f>
        <v>124.56790123456788</v>
      </c>
      <c r="C84" s="2" t="str">
        <f>Data!E82</f>
        <v>ccy</v>
      </c>
      <c r="D84" s="5" t="s">
        <v>17</v>
      </c>
      <c r="E84" s="2">
        <f>Data!D82</f>
        <v>22</v>
      </c>
      <c r="G84" s="19">
        <f>B84*E84</f>
        <v>2740.4938271604933</v>
      </c>
    </row>
    <row r="85" spans="1:9" ht="12.75" outlineLevel="1">
      <c r="A85" s="31" t="str">
        <f>Data!B83</f>
        <v>Rough grading</v>
      </c>
      <c r="B85" s="32">
        <f>$B$3*$B$6</f>
        <v>6000</v>
      </c>
      <c r="C85" s="36" t="str">
        <f>Data!E83</f>
        <v>sft</v>
      </c>
      <c r="D85" s="33" t="s">
        <v>17</v>
      </c>
      <c r="E85" s="36">
        <f>Data!D83</f>
        <v>1.5</v>
      </c>
      <c r="F85" s="31"/>
      <c r="G85" s="35">
        <f>B85*E85</f>
        <v>9000</v>
      </c>
      <c r="H85" s="31"/>
      <c r="I85" s="31"/>
    </row>
    <row r="86" spans="1:9" ht="13.5" thickBot="1">
      <c r="A86" s="73"/>
      <c r="B86" s="73"/>
      <c r="C86" s="74"/>
      <c r="D86" s="75"/>
      <c r="E86" s="73"/>
      <c r="F86" s="73"/>
      <c r="G86" s="73"/>
      <c r="H86" s="73"/>
      <c r="I86" s="73"/>
    </row>
    <row r="87" spans="1:7" ht="17.25">
      <c r="A87" s="1" t="s">
        <v>87</v>
      </c>
      <c r="G87" s="77">
        <f>G26+G33+G38+G44+G48+G59+G64+G67+G70+G74+G77+G81</f>
        <v>306626.6396604938</v>
      </c>
    </row>
    <row r="89" spans="1:7" ht="17.25">
      <c r="A89" s="1" t="s">
        <v>88</v>
      </c>
      <c r="G89" s="77">
        <f>VLOOKUP(G87,Permit,3)+ROUNDUP((G87-VLOOKUP(G87,Permit,5)),-3)*VLOOKUP(G87,Permit,6)/1000</f>
        <v>2152.95</v>
      </c>
    </row>
    <row r="91" spans="1:7" ht="17.25">
      <c r="A91" s="1" t="s">
        <v>89</v>
      </c>
      <c r="G91" s="77">
        <f>VLOOKUP(G87,Overhead,3)</f>
        <v>50000</v>
      </c>
    </row>
    <row r="93" spans="1:9" ht="18" thickBot="1">
      <c r="A93" s="80" t="s">
        <v>90</v>
      </c>
      <c r="B93" s="4"/>
      <c r="C93" s="81"/>
      <c r="D93" s="18"/>
      <c r="E93" s="4"/>
      <c r="F93" s="4"/>
      <c r="G93" s="82">
        <f>G87*VLOOKUP(G87,Profit,3)/100</f>
        <v>24530.131172839505</v>
      </c>
      <c r="H93" s="4"/>
      <c r="I93" s="4"/>
    </row>
    <row r="95" spans="1:7" ht="17.25">
      <c r="A95" s="1" t="s">
        <v>86</v>
      </c>
      <c r="G95" s="77">
        <f>SUM(G87:G93)</f>
        <v>383309.7208333333</v>
      </c>
    </row>
  </sheetData>
  <sheetProtection selectLockedCells="1"/>
  <mergeCells count="1">
    <mergeCell ref="B25:C25"/>
  </mergeCells>
  <dataValidations count="21">
    <dataValidation type="whole" allowBlank="1" showInputMessage="1" showErrorMessage="1" promptTitle="Number of Bays Long" prompt="Must be a whole number that creates bays between 20 and 40 feet long." errorTitle="Error" error="Must be a whole number that creates bays between 20 and 40 feet long." sqref="B4">
      <formula1>B3/40</formula1>
      <formula2>B3/20</formula2>
    </dataValidation>
    <dataValidation type="whole" allowBlank="1" showInputMessage="1" showErrorMessage="1" promptTitle="Number of Bays Wide" prompt="Must be a whole number that creates bays between 20 and 40 feet wide." errorTitle="Error" error="Must be a whole number that creates bays between 20 and 40 feet wide." sqref="B7">
      <formula1>B6/40</formula1>
      <formula2>B6/20</formula2>
    </dataValidation>
    <dataValidation type="list" allowBlank="1" showInputMessage="1" showErrorMessage="1" promptTitle="Floor Slab" prompt="Select thicknes from list." sqref="B11">
      <formula1>Slab_Thickness</formula1>
    </dataValidation>
    <dataValidation type="list" allowBlank="1" showInputMessage="1" showErrorMessage="1" prompt="Are fire sprinklers required?" sqref="B22">
      <formula1>"Yes,No"</formula1>
    </dataValidation>
    <dataValidation type="whole" allowBlank="1" showInputMessage="1" showErrorMessage="1" promptTitle="Depth to Top of Footing" prompt="Whole number between 12 and 36 inches." errorTitle="Error" error="Input a number between 12 and 36 inches." sqref="B10">
      <formula1>12</formula1>
      <formula2>36</formula2>
    </dataValidation>
    <dataValidation type="whole" allowBlank="1" showInputMessage="1" showErrorMessage="1" promptTitle="Building Width" prompt="Between 20 and 1,000." errorTitle="Error" error="Input a number between 20 and 1,000." sqref="B6">
      <formula1>20</formula1>
      <formula2>1000</formula2>
    </dataValidation>
    <dataValidation type="whole" operator="equal" allowBlank="1" showInputMessage="1" showErrorMessage="1" promptTitle="Bay Length" prompt="This is a calculated value.  Do not enter a number here." errorTitle="Error" error="Do not enter a number here." sqref="B5">
      <formula1>9999999</formula1>
    </dataValidation>
    <dataValidation type="whole" operator="equal" allowBlank="1" showInputMessage="1" showErrorMessage="1" promptTitle="Bay Width" prompt="This is a calculated value.  Do not enter a number here." errorTitle="Error" error="Do not enter a number here." sqref="B8">
      <formula1>9999999</formula1>
    </dataValidation>
    <dataValidation type="whole" allowBlank="1" showInputMessage="1" showErrorMessage="1" promptTitle="Building Height" prompt="Whole number between 15 and 30 feet above grade." errorTitle="Error" error="Input a number between 15 and 30 feet.&#10;" sqref="B9">
      <formula1>15</formula1>
      <formula2>30</formula2>
    </dataValidation>
    <dataValidation type="whole" allowBlank="1" showInputMessage="1" showErrorMessage="1" promptTitle="Building Length" prompt="Between 20 and 1,000." errorTitle="Error" error="Input a number between 20 and 1,000." sqref="B3">
      <formula1>20</formula1>
      <formula2>1000</formula2>
    </dataValidation>
    <dataValidation type="list" allowBlank="1" showInputMessage="1" showErrorMessage="1" prompt="Do you want wire mesh in the slab?" sqref="B12">
      <formula1>"Yes,No"</formula1>
    </dataValidation>
    <dataValidation type="whole" allowBlank="1" showInputMessage="1" showErrorMessage="1" promptTitle="Roof Hatches" prompt="How many roof hatches are required? &#10;&#10;Between 0 and 10." errorTitle="Error" error="Must be a whole number greater than zero." sqref="B13">
      <formula1>0</formula1>
      <formula2>10</formula2>
    </dataValidation>
    <dataValidation type="whole" allowBlank="1" showInputMessage="1" showErrorMessage="1" prompt="How many man doors are required?&#10;&#10;Maximum of 1 per 50 feet of exterior wall." errorTitle="Error" error="Must be a whole number greater than zero." sqref="B14">
      <formula1>0</formula1>
      <formula2>2*(B3+B6)/50</formula2>
    </dataValidation>
    <dataValidation type="whole" allowBlank="1" showInputMessage="1" showErrorMessage="1" prompt="How many 10'x10' OH doors are required?&#10;&#10;Maximum number of Oh doors (all sizes) is 1 per 20 lineal feet of exterior wall." errorTitle="Error" error="Must be a whole number greater than zero." sqref="B15">
      <formula1>0</formula1>
      <formula2>(B3+B6)*2/20-B16-B17-B18</formula2>
    </dataValidation>
    <dataValidation type="whole" allowBlank="1" showInputMessage="1" showErrorMessage="1" prompt="How many 12'x12' OH doors are required?&#10;&#10;Maximum number of Oh doors (all sizes) is 1 per 20 lineal feet of exterior wall." errorTitle="Error" error="Must be a whole number greater than zero." sqref="B16">
      <formula1>0</formula1>
      <formula2>(B3+B6)*2/20-B15-B17-B18</formula2>
    </dataValidation>
    <dataValidation type="whole" allowBlank="1" showInputMessage="1" showErrorMessage="1" prompt="How many 14'x14' OH doors are required?&#10;&#10;Maximum number of Oh doors (all sizes) is 1 per 20 lineal feet of exterior wall." errorTitle="Error" error="Must be a whole number greater than zero." sqref="B17">
      <formula1>0</formula1>
      <formula2>(B3+B6)*2/20-B15-B16-B18</formula2>
    </dataValidation>
    <dataValidation type="whole" allowBlank="1" showInputMessage="1" showErrorMessage="1" prompt="How many 12'x16' OH doors are required?&#10;&#10;Maximum number of Oh doors (all sizes) is 1 per 20 lineal feet of exterior wall." errorTitle="Error" error="Must be a whole number greater than zero." sqref="B18">
      <formula1>0</formula1>
      <formula2>(B3+B6)*2/20-B15-B16-B17</formula2>
    </dataValidation>
    <dataValidation type="whole" allowBlank="1" showInputMessage="1" showErrorMessage="1" prompt="How many 4'x4' skylights are required?&#10;&#10;Maximum number of skylights (all sizes) is 1 per 100 square feet." errorTitle="Error" error="Must be a whole number greater than zero." sqref="B20">
      <formula1>0</formula1>
      <formula2>B3*B6/100-B19-B21</formula2>
    </dataValidation>
    <dataValidation type="whole" allowBlank="1" showInputMessage="1" showErrorMessage="1" prompt="How many 2'x4' skylights are required?&#10;&#10;Maximum number of skylights (all sizes) is 1 per 100 square feet." errorTitle="Error" error="Must be a whole number greater than zero." sqref="B19">
      <formula1>0</formula1>
      <formula2>B3*B6/100-B20-B21</formula2>
    </dataValidation>
    <dataValidation type="whole" allowBlank="1" showInputMessage="1" showErrorMessage="1" prompt="How many 4'x6' skylights are required?&#10;&#10;Maximum number of skylights (all sizes) is 1 per 100 square feet." errorTitle="Error" error="Must be a whole number greater than zero." sqref="B21">
      <formula1>0</formula1>
      <formula2>B3*B6/100-B19-B20</formula2>
    </dataValidation>
    <dataValidation type="list" allowBlank="1" showInputMessage="1" showErrorMessage="1" promptTitle="Bathrooms" prompt="Select from the dropdown list." sqref="B23">
      <formula1>Bathroom_Type</formula1>
    </dataValidation>
  </dataValidations>
  <printOptions/>
  <pageMargins left="0.75" right="0.75" top="1" bottom="1" header="0.5" footer="0.5"/>
  <pageSetup horizontalDpi="600" verticalDpi="600" orientation="portrait" scale="82" r:id="rId2"/>
  <ignoredErrors>
    <ignoredError sqref="B36" formulaRange="1"/>
    <ignoredError sqref="B4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7"/>
  <sheetViews>
    <sheetView zoomScalePageLayoutView="0" workbookViewId="0" topLeftCell="A1">
      <selection activeCell="G68" sqref="G68"/>
    </sheetView>
  </sheetViews>
  <sheetFormatPr defaultColWidth="9.140625" defaultRowHeight="12.75"/>
  <cols>
    <col min="1" max="1" width="2.7109375" style="0" customWidth="1"/>
    <col min="2" max="9" width="11.7109375" style="0" customWidth="1"/>
  </cols>
  <sheetData>
    <row r="1" ht="13.5" thickBot="1"/>
    <row r="2" spans="2:9" ht="13.5" thickBot="1">
      <c r="B2" s="124" t="s">
        <v>15</v>
      </c>
      <c r="C2" s="125"/>
      <c r="D2" s="125"/>
      <c r="E2" s="125"/>
      <c r="F2" s="125"/>
      <c r="G2" s="125"/>
      <c r="H2" s="125"/>
      <c r="I2" s="120"/>
    </row>
    <row r="3" spans="2:9" ht="12.75" customHeight="1">
      <c r="B3" s="135" t="s">
        <v>8</v>
      </c>
      <c r="C3" s="136"/>
      <c r="D3" s="122" t="s">
        <v>11</v>
      </c>
      <c r="E3" s="122"/>
      <c r="F3" s="122"/>
      <c r="G3" s="122" t="s">
        <v>14</v>
      </c>
      <c r="H3" s="122"/>
      <c r="I3" s="128"/>
    </row>
    <row r="4" spans="2:9" ht="12.75">
      <c r="B4" s="106"/>
      <c r="C4" s="107"/>
      <c r="D4" s="129" t="s">
        <v>12</v>
      </c>
      <c r="E4" s="129" t="s">
        <v>13</v>
      </c>
      <c r="F4" s="129" t="s">
        <v>26</v>
      </c>
      <c r="G4" s="129" t="s">
        <v>12</v>
      </c>
      <c r="H4" s="129" t="s">
        <v>13</v>
      </c>
      <c r="I4" s="103" t="s">
        <v>26</v>
      </c>
    </row>
    <row r="5" spans="2:9" ht="12.75">
      <c r="B5" s="38" t="s">
        <v>71</v>
      </c>
      <c r="C5" s="6" t="s">
        <v>72</v>
      </c>
      <c r="D5" s="129"/>
      <c r="E5" s="129"/>
      <c r="F5" s="129"/>
      <c r="G5" s="129"/>
      <c r="H5" s="129"/>
      <c r="I5" s="103"/>
    </row>
    <row r="6" spans="2:9" ht="12.75">
      <c r="B6" s="39">
        <v>0</v>
      </c>
      <c r="C6" s="40">
        <v>20</v>
      </c>
      <c r="D6" s="11">
        <v>24</v>
      </c>
      <c r="E6" s="11">
        <v>12</v>
      </c>
      <c r="F6" s="9">
        <v>17.93</v>
      </c>
      <c r="G6" s="11">
        <v>30</v>
      </c>
      <c r="H6" s="11">
        <v>12</v>
      </c>
      <c r="I6" s="13">
        <v>21.4</v>
      </c>
    </row>
    <row r="7" spans="2:9" ht="12.75">
      <c r="B7" s="41">
        <f>C6+0.1</f>
        <v>20.1</v>
      </c>
      <c r="C7" s="42">
        <v>25</v>
      </c>
      <c r="D7" s="12">
        <v>24</v>
      </c>
      <c r="E7" s="12">
        <v>12</v>
      </c>
      <c r="F7" s="10">
        <v>17.93</v>
      </c>
      <c r="G7" s="12">
        <v>30</v>
      </c>
      <c r="H7" s="12">
        <v>12</v>
      </c>
      <c r="I7" s="14">
        <v>21.41</v>
      </c>
    </row>
    <row r="8" spans="2:9" ht="12.75">
      <c r="B8" s="41">
        <f>C7+0.1</f>
        <v>25.1</v>
      </c>
      <c r="C8" s="42">
        <v>30</v>
      </c>
      <c r="D8" s="12">
        <v>30</v>
      </c>
      <c r="E8" s="12">
        <v>12</v>
      </c>
      <c r="F8" s="10">
        <v>21.4</v>
      </c>
      <c r="G8" s="12">
        <v>36</v>
      </c>
      <c r="H8" s="12">
        <v>15</v>
      </c>
      <c r="I8" s="14">
        <v>30.42</v>
      </c>
    </row>
    <row r="9" spans="2:9" ht="12.75">
      <c r="B9" s="41">
        <f>C8+0.1</f>
        <v>30.1</v>
      </c>
      <c r="C9" s="42">
        <v>35</v>
      </c>
      <c r="D9" s="12">
        <v>30</v>
      </c>
      <c r="E9" s="12">
        <v>12</v>
      </c>
      <c r="F9" s="10">
        <v>21.4</v>
      </c>
      <c r="G9" s="12">
        <v>36</v>
      </c>
      <c r="H9" s="12">
        <v>15</v>
      </c>
      <c r="I9" s="14">
        <v>30.42</v>
      </c>
    </row>
    <row r="10" spans="2:9" ht="13.5" thickBot="1">
      <c r="B10" s="43">
        <f>C9+0.1</f>
        <v>35.1</v>
      </c>
      <c r="C10" s="44">
        <v>40</v>
      </c>
      <c r="D10" s="15">
        <v>30</v>
      </c>
      <c r="E10" s="15">
        <v>12</v>
      </c>
      <c r="F10" s="16">
        <v>21.4</v>
      </c>
      <c r="G10" s="15">
        <v>36</v>
      </c>
      <c r="H10" s="15">
        <v>15</v>
      </c>
      <c r="I10" s="17">
        <v>30.42</v>
      </c>
    </row>
    <row r="12" ht="13.5" thickBot="1"/>
    <row r="13" spans="2:8" ht="13.5" thickBot="1">
      <c r="B13" s="124" t="s">
        <v>24</v>
      </c>
      <c r="C13" s="125"/>
      <c r="D13" s="125"/>
      <c r="E13" s="120"/>
      <c r="G13" s="124" t="s">
        <v>37</v>
      </c>
      <c r="H13" s="120"/>
    </row>
    <row r="14" spans="2:8" ht="12.75" customHeight="1">
      <c r="B14" s="104" t="s">
        <v>32</v>
      </c>
      <c r="C14" s="105"/>
      <c r="D14" s="108" t="s">
        <v>25</v>
      </c>
      <c r="E14" s="102" t="s">
        <v>26</v>
      </c>
      <c r="G14" s="126" t="s">
        <v>38</v>
      </c>
      <c r="H14" s="102" t="s">
        <v>26</v>
      </c>
    </row>
    <row r="15" spans="2:8" ht="12.75">
      <c r="B15" s="106"/>
      <c r="C15" s="107"/>
      <c r="D15" s="108"/>
      <c r="E15" s="102"/>
      <c r="G15" s="127"/>
      <c r="H15" s="103"/>
    </row>
    <row r="16" spans="2:8" ht="12.75" customHeight="1">
      <c r="B16" s="51" t="s">
        <v>71</v>
      </c>
      <c r="C16" s="50" t="s">
        <v>72</v>
      </c>
      <c r="D16" s="109"/>
      <c r="E16" s="103"/>
      <c r="G16" s="27">
        <v>5</v>
      </c>
      <c r="H16" s="13">
        <v>2.31</v>
      </c>
    </row>
    <row r="17" spans="2:8" ht="12.75">
      <c r="B17" s="52">
        <v>0</v>
      </c>
      <c r="C17" s="48">
        <v>460</v>
      </c>
      <c r="D17" s="7" t="s">
        <v>27</v>
      </c>
      <c r="E17" s="23">
        <v>374</v>
      </c>
      <c r="G17" s="27">
        <v>6</v>
      </c>
      <c r="H17" s="14">
        <v>2.53</v>
      </c>
    </row>
    <row r="18" spans="2:8" ht="12.75">
      <c r="B18" s="53">
        <f>C17+1</f>
        <v>461</v>
      </c>
      <c r="C18" s="48">
        <v>600</v>
      </c>
      <c r="D18" s="8" t="s">
        <v>28</v>
      </c>
      <c r="E18" s="20">
        <v>484</v>
      </c>
      <c r="G18" s="27">
        <v>7</v>
      </c>
      <c r="H18" s="14">
        <v>2.76</v>
      </c>
    </row>
    <row r="19" spans="2:8" ht="13.5" thickBot="1">
      <c r="B19" s="53">
        <f>C18+1</f>
        <v>601</v>
      </c>
      <c r="C19" s="48">
        <v>940</v>
      </c>
      <c r="D19" s="8" t="s">
        <v>29</v>
      </c>
      <c r="E19" s="20">
        <v>924</v>
      </c>
      <c r="G19" s="28">
        <v>8</v>
      </c>
      <c r="H19" s="17">
        <v>2.98</v>
      </c>
    </row>
    <row r="20" spans="2:5" ht="13.5" thickBot="1">
      <c r="B20" s="53">
        <f>C19+1</f>
        <v>941</v>
      </c>
      <c r="C20" s="48">
        <v>1350</v>
      </c>
      <c r="D20" s="8" t="s">
        <v>30</v>
      </c>
      <c r="E20" s="20">
        <v>1540</v>
      </c>
    </row>
    <row r="21" spans="2:9" ht="13.5" thickBot="1">
      <c r="B21" s="54">
        <f>C20+1</f>
        <v>1351</v>
      </c>
      <c r="C21" s="49">
        <v>1600</v>
      </c>
      <c r="D21" s="21" t="s">
        <v>31</v>
      </c>
      <c r="E21" s="22">
        <v>2400</v>
      </c>
      <c r="G21" s="24" t="s">
        <v>39</v>
      </c>
      <c r="H21" s="25">
        <v>0.4</v>
      </c>
      <c r="I21" s="26" t="s">
        <v>40</v>
      </c>
    </row>
    <row r="23" ht="13.5" thickBot="1"/>
    <row r="24" spans="2:4" ht="13.5" thickBot="1">
      <c r="B24" s="124" t="s">
        <v>44</v>
      </c>
      <c r="C24" s="125"/>
      <c r="D24" s="120"/>
    </row>
    <row r="25" spans="2:4" ht="12.75">
      <c r="B25" s="131" t="s">
        <v>49</v>
      </c>
      <c r="C25" s="132"/>
      <c r="D25" s="130" t="s">
        <v>26</v>
      </c>
    </row>
    <row r="26" spans="2:4" ht="12.75">
      <c r="B26" s="133"/>
      <c r="C26" s="134"/>
      <c r="D26" s="103"/>
    </row>
    <row r="27" spans="2:4" ht="12.75">
      <c r="B27" s="112" t="s">
        <v>46</v>
      </c>
      <c r="C27" s="113"/>
      <c r="D27" s="13">
        <v>10.5</v>
      </c>
    </row>
    <row r="28" spans="2:4" ht="12.75">
      <c r="B28" s="114" t="s">
        <v>47</v>
      </c>
      <c r="C28" s="115"/>
      <c r="D28" s="14">
        <v>150</v>
      </c>
    </row>
    <row r="29" spans="2:4" ht="13.5" thickBot="1">
      <c r="B29" s="116" t="s">
        <v>48</v>
      </c>
      <c r="C29" s="117"/>
      <c r="D29" s="17">
        <v>400</v>
      </c>
    </row>
    <row r="31" ht="13.5" thickBot="1"/>
    <row r="32" spans="2:9" ht="13.5" thickBot="1">
      <c r="B32" s="124" t="s">
        <v>64</v>
      </c>
      <c r="C32" s="125"/>
      <c r="D32" s="125"/>
      <c r="E32" s="120"/>
      <c r="G32" s="24" t="s">
        <v>69</v>
      </c>
      <c r="H32" s="25">
        <v>2.5</v>
      </c>
      <c r="I32" s="26" t="s">
        <v>34</v>
      </c>
    </row>
    <row r="33" spans="2:5" ht="12.75" customHeight="1">
      <c r="B33" s="135" t="s">
        <v>32</v>
      </c>
      <c r="C33" s="136"/>
      <c r="D33" s="122" t="s">
        <v>25</v>
      </c>
      <c r="E33" s="130" t="s">
        <v>26</v>
      </c>
    </row>
    <row r="34" spans="2:5" ht="12.75">
      <c r="B34" s="106"/>
      <c r="C34" s="107"/>
      <c r="D34" s="108"/>
      <c r="E34" s="102"/>
    </row>
    <row r="35" spans="2:5" ht="12.75">
      <c r="B35" s="51" t="s">
        <v>71</v>
      </c>
      <c r="C35" s="50" t="s">
        <v>72</v>
      </c>
      <c r="D35" s="109"/>
      <c r="E35" s="103"/>
    </row>
    <row r="36" spans="2:5" ht="12.75">
      <c r="B36" s="58">
        <v>0</v>
      </c>
      <c r="C36" s="47">
        <v>800</v>
      </c>
      <c r="D36" s="7" t="s">
        <v>65</v>
      </c>
      <c r="E36" s="23">
        <v>510</v>
      </c>
    </row>
    <row r="37" spans="2:5" ht="13.5" thickBot="1">
      <c r="B37" s="59">
        <v>801</v>
      </c>
      <c r="C37" s="49">
        <v>1600</v>
      </c>
      <c r="D37" s="21" t="s">
        <v>66</v>
      </c>
      <c r="E37" s="22">
        <v>845</v>
      </c>
    </row>
    <row r="38" ht="13.5" thickBot="1"/>
    <row r="39" spans="2:9" ht="13.5" thickBot="1">
      <c r="B39" s="124" t="s">
        <v>67</v>
      </c>
      <c r="C39" s="125"/>
      <c r="D39" s="120"/>
      <c r="E39" s="55"/>
      <c r="G39" s="124" t="s">
        <v>73</v>
      </c>
      <c r="H39" s="125"/>
      <c r="I39" s="120"/>
    </row>
    <row r="40" spans="2:9" ht="12.75" customHeight="1">
      <c r="B40" s="137" t="s">
        <v>8</v>
      </c>
      <c r="C40" s="138"/>
      <c r="D40" s="130" t="s">
        <v>68</v>
      </c>
      <c r="E40" s="56"/>
      <c r="G40" s="137" t="s">
        <v>5</v>
      </c>
      <c r="H40" s="138"/>
      <c r="I40" s="130" t="s">
        <v>68</v>
      </c>
    </row>
    <row r="41" spans="2:9" ht="12.75">
      <c r="B41" s="38" t="s">
        <v>71</v>
      </c>
      <c r="C41" s="6" t="s">
        <v>72</v>
      </c>
      <c r="D41" s="103"/>
      <c r="E41" s="56"/>
      <c r="G41" s="38" t="s">
        <v>71</v>
      </c>
      <c r="H41" s="6" t="s">
        <v>72</v>
      </c>
      <c r="I41" s="103"/>
    </row>
    <row r="42" spans="2:9" ht="12.75">
      <c r="B42" s="39">
        <v>0</v>
      </c>
      <c r="C42" s="60">
        <v>20</v>
      </c>
      <c r="D42" s="13">
        <v>4.75</v>
      </c>
      <c r="E42" s="57"/>
      <c r="G42" s="39">
        <v>0</v>
      </c>
      <c r="H42" s="60">
        <v>20</v>
      </c>
      <c r="I42" s="13">
        <v>640</v>
      </c>
    </row>
    <row r="43" spans="2:9" ht="12.75">
      <c r="B43" s="41">
        <f>C42+0.1</f>
        <v>20.1</v>
      </c>
      <c r="C43" s="60">
        <v>25</v>
      </c>
      <c r="D43" s="14">
        <v>4.94</v>
      </c>
      <c r="E43" s="57"/>
      <c r="G43" s="41">
        <f>H42+0.1</f>
        <v>20.1</v>
      </c>
      <c r="H43" s="60">
        <v>25</v>
      </c>
      <c r="I43" s="14">
        <v>1650</v>
      </c>
    </row>
    <row r="44" spans="2:9" ht="12.75">
      <c r="B44" s="41">
        <f>C43+0.1</f>
        <v>25.1</v>
      </c>
      <c r="C44" s="60">
        <v>30</v>
      </c>
      <c r="D44" s="14">
        <v>6.65</v>
      </c>
      <c r="E44" s="57"/>
      <c r="G44" s="41">
        <f>H43+0.1</f>
        <v>25.1</v>
      </c>
      <c r="H44" s="60">
        <v>30</v>
      </c>
      <c r="I44" s="14">
        <v>2700</v>
      </c>
    </row>
    <row r="45" spans="2:9" ht="12.75">
      <c r="B45" s="41">
        <f>C44+0.1</f>
        <v>30.1</v>
      </c>
      <c r="C45" s="60">
        <v>35</v>
      </c>
      <c r="D45" s="14">
        <v>8.55</v>
      </c>
      <c r="E45" s="57"/>
      <c r="G45" s="41">
        <f>H44+0.1</f>
        <v>30.1</v>
      </c>
      <c r="H45" s="60">
        <v>35</v>
      </c>
      <c r="I45" s="14">
        <v>4410</v>
      </c>
    </row>
    <row r="46" spans="2:9" ht="13.5" thickBot="1">
      <c r="B46" s="43">
        <f>C45+0.1</f>
        <v>35.1</v>
      </c>
      <c r="C46" s="61">
        <v>40</v>
      </c>
      <c r="D46" s="17">
        <v>11.59</v>
      </c>
      <c r="E46" s="57"/>
      <c r="G46" s="43">
        <f>H45+0.1</f>
        <v>35.1</v>
      </c>
      <c r="H46" s="61">
        <v>40</v>
      </c>
      <c r="I46" s="17">
        <v>5840</v>
      </c>
    </row>
    <row r="48" ht="13.5" thickBot="1"/>
    <row r="49" spans="2:9" ht="13.5" thickBot="1">
      <c r="B49" s="24" t="s">
        <v>55</v>
      </c>
      <c r="C49" s="62">
        <v>3.6</v>
      </c>
      <c r="D49" s="63" t="s">
        <v>34</v>
      </c>
      <c r="G49" s="24" t="s">
        <v>76</v>
      </c>
      <c r="H49" s="62">
        <v>1850</v>
      </c>
      <c r="I49" s="63" t="s">
        <v>7</v>
      </c>
    </row>
    <row r="55" ht="13.5" thickBot="1"/>
    <row r="56" spans="2:9" ht="13.5" thickBot="1">
      <c r="B56" s="118" t="s">
        <v>74</v>
      </c>
      <c r="C56" s="119"/>
      <c r="D56" s="120"/>
      <c r="G56" s="118" t="s">
        <v>75</v>
      </c>
      <c r="H56" s="119"/>
      <c r="I56" s="120"/>
    </row>
    <row r="57" spans="2:9" ht="12.75">
      <c r="B57" s="112" t="s">
        <v>25</v>
      </c>
      <c r="C57" s="113"/>
      <c r="D57" s="102" t="s">
        <v>68</v>
      </c>
      <c r="G57" s="112" t="s">
        <v>25</v>
      </c>
      <c r="H57" s="113"/>
      <c r="I57" s="102" t="s">
        <v>68</v>
      </c>
    </row>
    <row r="58" spans="2:9" ht="12.75">
      <c r="B58" s="133"/>
      <c r="C58" s="134"/>
      <c r="D58" s="103"/>
      <c r="G58" s="133"/>
      <c r="H58" s="134"/>
      <c r="I58" s="103"/>
    </row>
    <row r="59" spans="2:9" ht="12.75">
      <c r="B59" s="112" t="s">
        <v>119</v>
      </c>
      <c r="C59" s="113"/>
      <c r="D59" s="23">
        <v>1400</v>
      </c>
      <c r="G59" s="112" t="s">
        <v>116</v>
      </c>
      <c r="H59" s="113"/>
      <c r="I59" s="23">
        <v>267</v>
      </c>
    </row>
    <row r="60" spans="2:9" ht="12.75">
      <c r="B60" s="114" t="s">
        <v>50</v>
      </c>
      <c r="C60" s="115"/>
      <c r="D60" s="20">
        <v>2112</v>
      </c>
      <c r="G60" s="114" t="s">
        <v>117</v>
      </c>
      <c r="H60" s="115"/>
      <c r="I60" s="20">
        <v>356</v>
      </c>
    </row>
    <row r="61" spans="2:9" ht="13.5" thickBot="1">
      <c r="B61" s="114" t="s">
        <v>51</v>
      </c>
      <c r="C61" s="115"/>
      <c r="D61" s="20">
        <v>2627</v>
      </c>
      <c r="G61" s="116" t="s">
        <v>118</v>
      </c>
      <c r="H61" s="117"/>
      <c r="I61" s="22">
        <v>465</v>
      </c>
    </row>
    <row r="62" spans="2:4" ht="12.75">
      <c r="B62" s="114" t="s">
        <v>52</v>
      </c>
      <c r="C62" s="115"/>
      <c r="D62" s="20">
        <v>3529</v>
      </c>
    </row>
    <row r="63" spans="2:4" ht="13.5" thickBot="1">
      <c r="B63" s="116" t="s">
        <v>53</v>
      </c>
      <c r="C63" s="117"/>
      <c r="D63" s="22">
        <v>3439</v>
      </c>
    </row>
    <row r="65" ht="13.5" thickBot="1"/>
    <row r="66" spans="2:5" ht="13.5" thickBot="1">
      <c r="B66" s="139" t="s">
        <v>58</v>
      </c>
      <c r="C66" s="140"/>
      <c r="D66" s="25">
        <v>2.58</v>
      </c>
      <c r="E66" s="63" t="s">
        <v>34</v>
      </c>
    </row>
    <row r="67" spans="2:5" ht="12.75">
      <c r="B67" s="66"/>
      <c r="C67" s="66"/>
      <c r="D67" s="2"/>
      <c r="E67" s="2"/>
    </row>
    <row r="68" spans="4:5" ht="13.5" thickBot="1">
      <c r="D68" s="2"/>
      <c r="E68" s="2"/>
    </row>
    <row r="69" spans="2:5" ht="13.5" thickBot="1">
      <c r="B69" s="139" t="s">
        <v>60</v>
      </c>
      <c r="C69" s="140"/>
      <c r="D69" s="25">
        <v>1.25</v>
      </c>
      <c r="E69" s="63" t="s">
        <v>34</v>
      </c>
    </row>
    <row r="70" spans="2:5" ht="12.75">
      <c r="B70" s="66"/>
      <c r="C70" s="66"/>
      <c r="D70" s="2"/>
      <c r="E70" s="2"/>
    </row>
    <row r="71" spans="4:5" ht="13.5" thickBot="1">
      <c r="D71" s="2"/>
      <c r="E71" s="2"/>
    </row>
    <row r="72" spans="2:5" ht="13.5" thickBot="1">
      <c r="B72" s="139" t="s">
        <v>77</v>
      </c>
      <c r="C72" s="140"/>
      <c r="D72" s="25">
        <v>3</v>
      </c>
      <c r="E72" s="63" t="s">
        <v>34</v>
      </c>
    </row>
    <row r="73" spans="2:5" ht="12.75">
      <c r="B73" s="66"/>
      <c r="C73" s="66"/>
      <c r="D73" s="2"/>
      <c r="E73" s="2"/>
    </row>
    <row r="74" spans="4:5" ht="13.5" thickBot="1">
      <c r="D74" s="2"/>
      <c r="E74" s="2"/>
    </row>
    <row r="75" spans="2:5" ht="13.5" thickBot="1">
      <c r="B75" s="139" t="s">
        <v>78</v>
      </c>
      <c r="C75" s="140"/>
      <c r="D75" s="25">
        <v>3.75</v>
      </c>
      <c r="E75" s="63" t="s">
        <v>34</v>
      </c>
    </row>
    <row r="76" spans="2:5" ht="12.75">
      <c r="B76" s="66"/>
      <c r="C76" s="66"/>
      <c r="D76" s="57"/>
      <c r="E76" s="57"/>
    </row>
    <row r="77" ht="13.5" thickBot="1"/>
    <row r="78" spans="2:5" ht="13.5" thickBot="1">
      <c r="B78" s="124" t="s">
        <v>63</v>
      </c>
      <c r="C78" s="125"/>
      <c r="D78" s="125"/>
      <c r="E78" s="120"/>
    </row>
    <row r="79" spans="2:5" ht="12.75">
      <c r="B79" s="144" t="s">
        <v>49</v>
      </c>
      <c r="C79" s="145"/>
      <c r="D79" s="147" t="s">
        <v>83</v>
      </c>
      <c r="E79" s="148"/>
    </row>
    <row r="80" spans="2:5" ht="12.75">
      <c r="B80" s="112" t="s">
        <v>79</v>
      </c>
      <c r="C80" s="113"/>
      <c r="D80" s="67">
        <v>11.85</v>
      </c>
      <c r="E80" s="69" t="s">
        <v>84</v>
      </c>
    </row>
    <row r="81" spans="2:5" ht="12.75">
      <c r="B81" s="114" t="s">
        <v>80</v>
      </c>
      <c r="C81" s="115"/>
      <c r="D81" s="68">
        <v>11.85</v>
      </c>
      <c r="E81" s="70" t="s">
        <v>84</v>
      </c>
    </row>
    <row r="82" spans="2:5" ht="12.75">
      <c r="B82" s="114" t="s">
        <v>81</v>
      </c>
      <c r="C82" s="115"/>
      <c r="D82" s="68">
        <v>22</v>
      </c>
      <c r="E82" s="70" t="s">
        <v>85</v>
      </c>
    </row>
    <row r="83" spans="2:5" ht="13.5" thickBot="1">
      <c r="B83" s="116" t="s">
        <v>82</v>
      </c>
      <c r="C83" s="117"/>
      <c r="D83" s="71">
        <v>1.5</v>
      </c>
      <c r="E83" s="72" t="s">
        <v>34</v>
      </c>
    </row>
    <row r="85" ht="13.5" thickBot="1"/>
    <row r="86" spans="2:10" ht="13.5" thickBot="1">
      <c r="B86" s="124" t="s">
        <v>100</v>
      </c>
      <c r="C86" s="125"/>
      <c r="D86" s="125"/>
      <c r="E86" s="125"/>
      <c r="F86" s="125"/>
      <c r="G86" s="125"/>
      <c r="H86" s="125"/>
      <c r="I86" s="120"/>
      <c r="J86" s="98"/>
    </row>
    <row r="87" spans="2:9" ht="12.75" customHeight="1">
      <c r="B87" s="149" t="s">
        <v>101</v>
      </c>
      <c r="C87" s="141" t="s">
        <v>112</v>
      </c>
      <c r="D87" s="141" t="s">
        <v>105</v>
      </c>
      <c r="E87" s="141" t="s">
        <v>102</v>
      </c>
      <c r="F87" s="141" t="s">
        <v>103</v>
      </c>
      <c r="G87" s="141" t="s">
        <v>114</v>
      </c>
      <c r="H87" s="141" t="s">
        <v>104</v>
      </c>
      <c r="I87" s="123" t="s">
        <v>62</v>
      </c>
    </row>
    <row r="88" spans="2:9" ht="12.75">
      <c r="B88" s="150"/>
      <c r="C88" s="142"/>
      <c r="D88" s="142"/>
      <c r="E88" s="142"/>
      <c r="F88" s="142"/>
      <c r="G88" s="142"/>
      <c r="H88" s="142"/>
      <c r="I88" s="146"/>
    </row>
    <row r="89" spans="2:9" ht="12.75">
      <c r="B89" s="126"/>
      <c r="C89" s="143"/>
      <c r="D89" s="143"/>
      <c r="E89" s="143"/>
      <c r="F89" s="143"/>
      <c r="G89" s="143"/>
      <c r="H89" s="143"/>
      <c r="I89" s="102"/>
    </row>
    <row r="90" spans="2:9" ht="12.75">
      <c r="B90" s="58" t="s">
        <v>107</v>
      </c>
      <c r="C90" s="95">
        <v>500</v>
      </c>
      <c r="D90" s="9">
        <v>14000</v>
      </c>
      <c r="E90" s="9">
        <v>1400</v>
      </c>
      <c r="F90" s="9">
        <v>800</v>
      </c>
      <c r="G90" s="9">
        <v>500</v>
      </c>
      <c r="H90" s="9">
        <v>6000</v>
      </c>
      <c r="I90" s="13">
        <v>500</v>
      </c>
    </row>
    <row r="91" spans="2:9" ht="12.75">
      <c r="B91" s="52" t="s">
        <v>99</v>
      </c>
      <c r="C91" s="96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4">
        <v>0</v>
      </c>
    </row>
    <row r="92" spans="2:9" ht="13.5" thickBot="1">
      <c r="B92" s="59" t="s">
        <v>106</v>
      </c>
      <c r="C92" s="97">
        <v>225</v>
      </c>
      <c r="D92" s="16">
        <v>8000</v>
      </c>
      <c r="E92" s="16">
        <v>800</v>
      </c>
      <c r="F92" s="16">
        <v>400</v>
      </c>
      <c r="G92" s="16">
        <v>250</v>
      </c>
      <c r="H92" s="16">
        <v>3500</v>
      </c>
      <c r="I92" s="17">
        <v>250</v>
      </c>
    </row>
    <row r="94" ht="13.5" thickBot="1"/>
    <row r="95" spans="2:7" ht="13.5" thickBot="1">
      <c r="B95" s="124" t="s">
        <v>88</v>
      </c>
      <c r="C95" s="125"/>
      <c r="D95" s="125"/>
      <c r="E95" s="125"/>
      <c r="F95" s="125"/>
      <c r="G95" s="120"/>
    </row>
    <row r="96" spans="2:7" ht="12.75">
      <c r="B96" s="110" t="s">
        <v>94</v>
      </c>
      <c r="C96" s="108"/>
      <c r="D96" s="108" t="s">
        <v>91</v>
      </c>
      <c r="E96" s="108"/>
      <c r="F96" s="108"/>
      <c r="G96" s="102" t="s">
        <v>92</v>
      </c>
    </row>
    <row r="97" spans="2:7" ht="12.75">
      <c r="B97" s="111"/>
      <c r="C97" s="109"/>
      <c r="D97" s="109"/>
      <c r="E97" s="109"/>
      <c r="F97" s="109"/>
      <c r="G97" s="103"/>
    </row>
    <row r="98" spans="2:7" ht="12.75">
      <c r="B98" s="51" t="s">
        <v>71</v>
      </c>
      <c r="C98" s="37" t="s">
        <v>72</v>
      </c>
      <c r="D98" s="109"/>
      <c r="E98" s="109"/>
      <c r="F98" s="109"/>
      <c r="G98" s="103"/>
    </row>
    <row r="99" spans="2:7" ht="12.75">
      <c r="B99" s="53">
        <v>0</v>
      </c>
      <c r="C99" s="85">
        <v>2000</v>
      </c>
      <c r="D99" s="10">
        <v>69.25</v>
      </c>
      <c r="E99" s="86" t="s">
        <v>93</v>
      </c>
      <c r="F99" s="85">
        <v>0</v>
      </c>
      <c r="G99" s="14">
        <v>0</v>
      </c>
    </row>
    <row r="100" spans="2:7" ht="12.75">
      <c r="B100" s="83">
        <v>2001</v>
      </c>
      <c r="C100" s="85">
        <f>B101-1</f>
        <v>25000</v>
      </c>
      <c r="D100" s="10">
        <v>69.25</v>
      </c>
      <c r="E100" s="86" t="s">
        <v>93</v>
      </c>
      <c r="F100" s="85">
        <f aca="true" t="shared" si="0" ref="F100:F105">C99</f>
        <v>2000</v>
      </c>
      <c r="G100" s="14">
        <v>14</v>
      </c>
    </row>
    <row r="101" spans="2:7" ht="12.75">
      <c r="B101" s="83">
        <v>25001</v>
      </c>
      <c r="C101" s="85">
        <f>B102-1</f>
        <v>50000</v>
      </c>
      <c r="D101" s="10">
        <v>391.25</v>
      </c>
      <c r="E101" s="86" t="s">
        <v>93</v>
      </c>
      <c r="F101" s="85">
        <f t="shared" si="0"/>
        <v>25000</v>
      </c>
      <c r="G101" s="14">
        <v>10.1</v>
      </c>
    </row>
    <row r="102" spans="2:7" ht="12.75">
      <c r="B102" s="83">
        <v>50001</v>
      </c>
      <c r="C102" s="85">
        <f>B103-1</f>
        <v>100000</v>
      </c>
      <c r="D102" s="10">
        <v>643.75</v>
      </c>
      <c r="E102" s="86" t="s">
        <v>93</v>
      </c>
      <c r="F102" s="85">
        <f t="shared" si="0"/>
        <v>50000</v>
      </c>
      <c r="G102" s="14">
        <v>7</v>
      </c>
    </row>
    <row r="103" spans="2:7" ht="12.75">
      <c r="B103" s="83">
        <v>100001</v>
      </c>
      <c r="C103" s="85">
        <f>B104-1</f>
        <v>500000</v>
      </c>
      <c r="D103" s="10">
        <v>993.75</v>
      </c>
      <c r="E103" s="86" t="s">
        <v>93</v>
      </c>
      <c r="F103" s="85">
        <f t="shared" si="0"/>
        <v>100000</v>
      </c>
      <c r="G103" s="14">
        <v>5.6</v>
      </c>
    </row>
    <row r="104" spans="2:7" ht="12.75">
      <c r="B104" s="83">
        <v>500001</v>
      </c>
      <c r="C104" s="85">
        <f>B105-1</f>
        <v>1000000</v>
      </c>
      <c r="D104" s="10">
        <v>3233.75</v>
      </c>
      <c r="E104" s="86" t="s">
        <v>93</v>
      </c>
      <c r="F104" s="85">
        <f t="shared" si="0"/>
        <v>500000</v>
      </c>
      <c r="G104" s="14">
        <v>4.75</v>
      </c>
    </row>
    <row r="105" spans="2:7" ht="13.5" thickBot="1">
      <c r="B105" s="84">
        <v>1000001</v>
      </c>
      <c r="C105" s="21"/>
      <c r="D105" s="16">
        <v>5608.75</v>
      </c>
      <c r="E105" s="87" t="s">
        <v>93</v>
      </c>
      <c r="F105" s="88">
        <f t="shared" si="0"/>
        <v>1000000</v>
      </c>
      <c r="G105" s="17">
        <v>3.15</v>
      </c>
    </row>
    <row r="109" ht="13.5" thickBot="1"/>
    <row r="110" spans="2:8" ht="13.5" thickBot="1">
      <c r="B110" s="124" t="s">
        <v>89</v>
      </c>
      <c r="C110" s="125"/>
      <c r="D110" s="120"/>
      <c r="F110" s="124" t="s">
        <v>90</v>
      </c>
      <c r="G110" s="125"/>
      <c r="H110" s="120"/>
    </row>
    <row r="111" spans="2:8" ht="12.75">
      <c r="B111" s="121" t="s">
        <v>95</v>
      </c>
      <c r="C111" s="122"/>
      <c r="D111" s="123" t="s">
        <v>89</v>
      </c>
      <c r="F111" s="121" t="s">
        <v>95</v>
      </c>
      <c r="G111" s="122"/>
      <c r="H111" s="123" t="s">
        <v>96</v>
      </c>
    </row>
    <row r="112" spans="2:8" ht="12.75">
      <c r="B112" s="51" t="s">
        <v>71</v>
      </c>
      <c r="C112" s="37" t="s">
        <v>72</v>
      </c>
      <c r="D112" s="102"/>
      <c r="F112" s="51" t="s">
        <v>71</v>
      </c>
      <c r="G112" s="37" t="s">
        <v>72</v>
      </c>
      <c r="H112" s="102"/>
    </row>
    <row r="113" spans="2:8" ht="12.75">
      <c r="B113" s="53">
        <v>0</v>
      </c>
      <c r="C113" s="85">
        <v>50000</v>
      </c>
      <c r="D113" s="23">
        <v>20000</v>
      </c>
      <c r="F113" s="53">
        <v>0</v>
      </c>
      <c r="G113" s="85">
        <v>50000</v>
      </c>
      <c r="H113" s="13">
        <v>25</v>
      </c>
    </row>
    <row r="114" spans="2:8" ht="12.75">
      <c r="B114" s="83">
        <v>50001</v>
      </c>
      <c r="C114" s="85">
        <f>B115-1</f>
        <v>100000</v>
      </c>
      <c r="D114" s="20">
        <v>33000</v>
      </c>
      <c r="F114" s="83">
        <v>50001</v>
      </c>
      <c r="G114" s="85">
        <f>F115-1</f>
        <v>100000</v>
      </c>
      <c r="H114" s="14">
        <v>15</v>
      </c>
    </row>
    <row r="115" spans="2:8" ht="12.75">
      <c r="B115" s="83">
        <v>100001</v>
      </c>
      <c r="C115" s="85">
        <f>B116-1</f>
        <v>500000</v>
      </c>
      <c r="D115" s="20">
        <v>50000</v>
      </c>
      <c r="F115" s="83">
        <v>100001</v>
      </c>
      <c r="G115" s="85">
        <f>F116-1</f>
        <v>500000</v>
      </c>
      <c r="H115" s="14">
        <v>8</v>
      </c>
    </row>
    <row r="116" spans="2:8" ht="12.75">
      <c r="B116" s="83">
        <v>500001</v>
      </c>
      <c r="C116" s="85">
        <f>B117-1</f>
        <v>1000000</v>
      </c>
      <c r="D116" s="20">
        <v>100000</v>
      </c>
      <c r="F116" s="83">
        <v>500001</v>
      </c>
      <c r="G116" s="85">
        <f>F117-1</f>
        <v>1000000</v>
      </c>
      <c r="H116" s="14">
        <v>5</v>
      </c>
    </row>
    <row r="117" spans="2:8" ht="13.5" thickBot="1">
      <c r="B117" s="84">
        <v>1000001</v>
      </c>
      <c r="C117" s="21"/>
      <c r="D117" s="22">
        <v>130000</v>
      </c>
      <c r="F117" s="84">
        <v>1000001</v>
      </c>
      <c r="G117" s="21"/>
      <c r="H117" s="17">
        <v>3</v>
      </c>
    </row>
  </sheetData>
  <sheetProtection/>
  <mergeCells count="77">
    <mergeCell ref="F87:F89"/>
    <mergeCell ref="B87:B89"/>
    <mergeCell ref="B80:C80"/>
    <mergeCell ref="B81:C81"/>
    <mergeCell ref="B72:C72"/>
    <mergeCell ref="B66:C66"/>
    <mergeCell ref="D79:E79"/>
    <mergeCell ref="B75:C75"/>
    <mergeCell ref="B78:E78"/>
    <mergeCell ref="C87:C89"/>
    <mergeCell ref="B82:C82"/>
    <mergeCell ref="B83:C83"/>
    <mergeCell ref="B79:C79"/>
    <mergeCell ref="B86:I86"/>
    <mergeCell ref="H87:H89"/>
    <mergeCell ref="D87:D89"/>
    <mergeCell ref="E87:E89"/>
    <mergeCell ref="I87:I89"/>
    <mergeCell ref="G87:G89"/>
    <mergeCell ref="G59:H59"/>
    <mergeCell ref="G60:H60"/>
    <mergeCell ref="G61:H61"/>
    <mergeCell ref="B61:C61"/>
    <mergeCell ref="B59:C59"/>
    <mergeCell ref="B60:C60"/>
    <mergeCell ref="B57:C58"/>
    <mergeCell ref="B69:C69"/>
    <mergeCell ref="B62:C62"/>
    <mergeCell ref="B63:C63"/>
    <mergeCell ref="E33:E35"/>
    <mergeCell ref="G56:I56"/>
    <mergeCell ref="G57:H58"/>
    <mergeCell ref="I57:I58"/>
    <mergeCell ref="G39:I39"/>
    <mergeCell ref="G40:H40"/>
    <mergeCell ref="I40:I41"/>
    <mergeCell ref="B13:E13"/>
    <mergeCell ref="H4:H5"/>
    <mergeCell ref="B2:I2"/>
    <mergeCell ref="B3:C4"/>
    <mergeCell ref="F4:F5"/>
    <mergeCell ref="E4:E5"/>
    <mergeCell ref="D4:D5"/>
    <mergeCell ref="D3:F3"/>
    <mergeCell ref="I4:I5"/>
    <mergeCell ref="B95:G95"/>
    <mergeCell ref="D25:D26"/>
    <mergeCell ref="B24:D24"/>
    <mergeCell ref="B25:C26"/>
    <mergeCell ref="B32:E32"/>
    <mergeCell ref="B33:C34"/>
    <mergeCell ref="B40:C40"/>
    <mergeCell ref="B39:D39"/>
    <mergeCell ref="D33:D35"/>
    <mergeCell ref="D40:D41"/>
    <mergeCell ref="G14:G15"/>
    <mergeCell ref="G13:H13"/>
    <mergeCell ref="H14:H15"/>
    <mergeCell ref="G3:I3"/>
    <mergeCell ref="G4:G5"/>
    <mergeCell ref="F111:G111"/>
    <mergeCell ref="H111:H112"/>
    <mergeCell ref="G96:G98"/>
    <mergeCell ref="B111:C111"/>
    <mergeCell ref="D111:D112"/>
    <mergeCell ref="B110:D110"/>
    <mergeCell ref="F110:H110"/>
    <mergeCell ref="E14:E16"/>
    <mergeCell ref="B14:C15"/>
    <mergeCell ref="D14:D16"/>
    <mergeCell ref="D96:F98"/>
    <mergeCell ref="B96:C97"/>
    <mergeCell ref="B27:C27"/>
    <mergeCell ref="B28:C28"/>
    <mergeCell ref="B29:C29"/>
    <mergeCell ref="B56:D56"/>
    <mergeCell ref="D57:D58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 ROGERS</cp:lastModifiedBy>
  <cp:lastPrinted>2008-06-18T15:20:58Z</cp:lastPrinted>
  <dcterms:created xsi:type="dcterms:W3CDTF">1996-10-14T23:33:28Z</dcterms:created>
  <dcterms:modified xsi:type="dcterms:W3CDTF">2010-10-20T22:56:55Z</dcterms:modified>
  <cp:category/>
  <cp:version/>
  <cp:contentType/>
  <cp:contentStatus/>
</cp:coreProperties>
</file>